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1 CTA PCA\2do trim 2021\2 trim 21\"/>
    </mc:Choice>
  </mc:AlternateContent>
  <xr:revisionPtr revIDLastSave="0" documentId="8_{684950F0-A924-4FA2-BD62-111002A2B895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b)'!$A$65</definedName>
    <definedName name="GASTO_E_FIN">'Formato 6 b)'!$A$80</definedName>
    <definedName name="GASTO_E_FIN_01">'Formato 6 b)'!$B$80</definedName>
    <definedName name="GASTO_E_FIN_02">'Formato 6 b)'!$C$80</definedName>
    <definedName name="GASTO_E_FIN_03">'Formato 6 b)'!$D$80</definedName>
    <definedName name="GASTO_E_FIN_04">'Formato 6 b)'!$E$80</definedName>
    <definedName name="GASTO_E_FIN_05">'Formato 6 b)'!$F$80</definedName>
    <definedName name="GASTO_E_FIN_06">'Formato 6 b)'!$G$80</definedName>
    <definedName name="GASTO_E_T1">'Formato 6 b)'!$B$65</definedName>
    <definedName name="GASTO_E_T2">'Formato 6 b)'!$C$65</definedName>
    <definedName name="GASTO_E_T3">'Formato 6 b)'!$D$65</definedName>
    <definedName name="GASTO_E_T4">'Formato 6 b)'!$E$65</definedName>
    <definedName name="GASTO_E_T5">'Formato 6 b)'!$F$65</definedName>
    <definedName name="GASTO_E_T6">'Formato 6 b)'!$G$65</definedName>
    <definedName name="GASTO_NE">'Formato 6 b)'!$A$9</definedName>
    <definedName name="GASTO_NE_FIN">'Formato 6 b)'!$A$64</definedName>
    <definedName name="GASTO_NE_FIN_01">'Formato 6 b)'!$B$64</definedName>
    <definedName name="GASTO_NE_FIN_02">'Formato 6 b)'!$C$64</definedName>
    <definedName name="GASTO_NE_FIN_03">'Formato 6 b)'!$D$64</definedName>
    <definedName name="GASTO_NE_FIN_04">'Formato 6 b)'!$E$64</definedName>
    <definedName name="GASTO_NE_FIN_05">'Formato 6 b)'!$F$64</definedName>
    <definedName name="GASTO_NE_FIN_06">'Formato 6 b)'!$G$64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b)'!$B$81</definedName>
    <definedName name="TOTAL_E_T2">'Formato 6 b)'!$C$81</definedName>
    <definedName name="TOTAL_E_T3">'Formato 6 b)'!$D$81</definedName>
    <definedName name="TOTAL_E_T4">'Formato 6 b)'!$E$81</definedName>
    <definedName name="TOTAL_E_T5">'Formato 6 b)'!$F$81</definedName>
    <definedName name="TOTAL_E_T6">'Formato 6 b)'!$G$81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7" l="1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7" i="6"/>
  <c r="G156" i="6"/>
  <c r="G155" i="6"/>
  <c r="G154" i="6"/>
  <c r="G153" i="6"/>
  <c r="G152" i="6"/>
  <c r="G151" i="6"/>
  <c r="G149" i="6"/>
  <c r="G148" i="6"/>
  <c r="G147" i="6"/>
  <c r="G145" i="6"/>
  <c r="G144" i="6"/>
  <c r="G143" i="6"/>
  <c r="G142" i="6"/>
  <c r="G141" i="6"/>
  <c r="G140" i="6"/>
  <c r="G139" i="6"/>
  <c r="G138" i="6"/>
  <c r="G136" i="6"/>
  <c r="G135" i="6"/>
  <c r="G134" i="6"/>
  <c r="G132" i="6"/>
  <c r="G131" i="6"/>
  <c r="G130" i="6"/>
  <c r="G129" i="6"/>
  <c r="G128" i="6"/>
  <c r="G127" i="6"/>
  <c r="G126" i="6"/>
  <c r="G125" i="6"/>
  <c r="G124" i="6"/>
  <c r="G122" i="6"/>
  <c r="G121" i="6"/>
  <c r="G120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6" i="6"/>
  <c r="G105" i="6"/>
  <c r="G104" i="6"/>
  <c r="G100" i="6"/>
  <c r="G46" i="5" l="1"/>
  <c r="G47" i="5"/>
  <c r="G38" i="5"/>
  <c r="G39" i="5"/>
  <c r="D14" i="2" l="1"/>
  <c r="F14" i="2" s="1"/>
  <c r="F13" i="2" s="1"/>
  <c r="F8" i="2" s="1"/>
  <c r="H22" i="2"/>
  <c r="G22" i="2"/>
  <c r="F22" i="2"/>
  <c r="E22" i="2"/>
  <c r="D22" i="2"/>
  <c r="C22" i="2"/>
  <c r="B22" i="2"/>
  <c r="G13" i="2"/>
  <c r="G8" i="2" s="1"/>
  <c r="E13" i="2"/>
  <c r="C13" i="2"/>
  <c r="B13" i="2"/>
  <c r="G9" i="2"/>
  <c r="F9" i="2"/>
  <c r="E9" i="2"/>
  <c r="D9" i="2"/>
  <c r="C9" i="2"/>
  <c r="C8" i="2" s="1"/>
  <c r="B9" i="2"/>
  <c r="B8" i="2" s="1"/>
  <c r="E8" i="2"/>
  <c r="D13" i="2" l="1"/>
  <c r="D8" i="2"/>
  <c r="C137" i="6" l="1"/>
  <c r="D137" i="6"/>
  <c r="R129" i="24" s="1"/>
  <c r="E137" i="6"/>
  <c r="S129" i="24" s="1"/>
  <c r="F137" i="6"/>
  <c r="T129" i="24" s="1"/>
  <c r="B137" i="6"/>
  <c r="C62" i="6"/>
  <c r="D62" i="6"/>
  <c r="R55" i="24" s="1"/>
  <c r="E62" i="6"/>
  <c r="S55" i="24" s="1"/>
  <c r="F62" i="6"/>
  <c r="T55" i="24" s="1"/>
  <c r="B62" i="6"/>
  <c r="P55" i="24" s="1"/>
  <c r="B8" i="10"/>
  <c r="C6" i="23"/>
  <c r="C7" i="23" s="1"/>
  <c r="B9" i="1"/>
  <c r="H25" i="23"/>
  <c r="F5" i="12" s="1"/>
  <c r="G25" i="23"/>
  <c r="F25" i="23"/>
  <c r="D5" i="13" s="1"/>
  <c r="E25" i="23"/>
  <c r="C5" i="12" s="1"/>
  <c r="D25" i="23"/>
  <c r="G30" i="9"/>
  <c r="U22" i="27" s="1"/>
  <c r="G31" i="9"/>
  <c r="U23" i="27" s="1"/>
  <c r="G29" i="9"/>
  <c r="G26" i="9"/>
  <c r="G27" i="9"/>
  <c r="U19" i="27" s="1"/>
  <c r="G25" i="9"/>
  <c r="U17" i="27" s="1"/>
  <c r="G23" i="9"/>
  <c r="G22" i="9"/>
  <c r="U14" i="27" s="1"/>
  <c r="G19" i="9"/>
  <c r="U12" i="27" s="1"/>
  <c r="G18" i="9"/>
  <c r="G16" i="9" s="1"/>
  <c r="U9" i="27" s="1"/>
  <c r="G17" i="9"/>
  <c r="G14" i="9"/>
  <c r="G15" i="9"/>
  <c r="U8" i="27" s="1"/>
  <c r="G13" i="9"/>
  <c r="U6" i="27" s="1"/>
  <c r="G11" i="9"/>
  <c r="U4" i="27" s="1"/>
  <c r="G10" i="9"/>
  <c r="G73" i="8"/>
  <c r="G74" i="8"/>
  <c r="U66" i="26" s="1"/>
  <c r="G75" i="8"/>
  <c r="G72" i="8"/>
  <c r="U64" i="26" s="1"/>
  <c r="G63" i="8"/>
  <c r="U55" i="26" s="1"/>
  <c r="G64" i="8"/>
  <c r="U56" i="26" s="1"/>
  <c r="G65" i="8"/>
  <c r="G66" i="8"/>
  <c r="U58" i="26" s="1"/>
  <c r="G67" i="8"/>
  <c r="G68" i="8"/>
  <c r="U60" i="26" s="1"/>
  <c r="G69" i="8"/>
  <c r="U61" i="26" s="1"/>
  <c r="G70" i="8"/>
  <c r="U62" i="26" s="1"/>
  <c r="G62" i="8"/>
  <c r="G55" i="8"/>
  <c r="U47" i="26" s="1"/>
  <c r="G56" i="8"/>
  <c r="G57" i="8"/>
  <c r="U49" i="26" s="1"/>
  <c r="G58" i="8"/>
  <c r="U50" i="26" s="1"/>
  <c r="G59" i="8"/>
  <c r="U51" i="26" s="1"/>
  <c r="G60" i="8"/>
  <c r="U52" i="26" s="1"/>
  <c r="G54" i="8"/>
  <c r="G46" i="8"/>
  <c r="G47" i="8"/>
  <c r="U39" i="26" s="1"/>
  <c r="G48" i="8"/>
  <c r="G49" i="8"/>
  <c r="G50" i="8"/>
  <c r="G51" i="8"/>
  <c r="U43" i="26" s="1"/>
  <c r="G52" i="8"/>
  <c r="G45" i="8"/>
  <c r="G39" i="8"/>
  <c r="G40" i="8"/>
  <c r="U33" i="26" s="1"/>
  <c r="G41" i="8"/>
  <c r="G38" i="8"/>
  <c r="G11" i="8"/>
  <c r="U4" i="26" s="1"/>
  <c r="G12" i="8"/>
  <c r="G13" i="8"/>
  <c r="U6" i="26" s="1"/>
  <c r="G14" i="8"/>
  <c r="U7" i="26" s="1"/>
  <c r="G15" i="8"/>
  <c r="G16" i="8"/>
  <c r="U9" i="26" s="1"/>
  <c r="G17" i="8"/>
  <c r="U10" i="26" s="1"/>
  <c r="G18" i="8"/>
  <c r="G20" i="8"/>
  <c r="G21" i="8"/>
  <c r="G22" i="8"/>
  <c r="G23" i="8"/>
  <c r="U16" i="26" s="1"/>
  <c r="G24" i="8"/>
  <c r="U17" i="26" s="1"/>
  <c r="G25" i="8"/>
  <c r="U18" i="26" s="1"/>
  <c r="G26" i="8"/>
  <c r="U19" i="26" s="1"/>
  <c r="G28" i="8"/>
  <c r="G29" i="8"/>
  <c r="G30" i="8"/>
  <c r="U23" i="26" s="1"/>
  <c r="G31" i="8"/>
  <c r="U24" i="26" s="1"/>
  <c r="G32" i="8"/>
  <c r="G33" i="8"/>
  <c r="U26" i="26" s="1"/>
  <c r="G34" i="8"/>
  <c r="U27" i="26" s="1"/>
  <c r="G35" i="8"/>
  <c r="G36" i="8"/>
  <c r="G11" i="7"/>
  <c r="G12" i="7"/>
  <c r="G13" i="7"/>
  <c r="G14" i="7"/>
  <c r="G15" i="7"/>
  <c r="G10" i="7"/>
  <c r="B10" i="6"/>
  <c r="P3" i="24" s="1"/>
  <c r="B18" i="6"/>
  <c r="P11" i="24" s="1"/>
  <c r="B28" i="6"/>
  <c r="P21" i="24" s="1"/>
  <c r="B38" i="6"/>
  <c r="P31" i="24" s="1"/>
  <c r="B48" i="6"/>
  <c r="P41" i="24" s="1"/>
  <c r="B58" i="6"/>
  <c r="B71" i="6"/>
  <c r="P64" i="24" s="1"/>
  <c r="B75" i="6"/>
  <c r="U149" i="24"/>
  <c r="G137" i="6"/>
  <c r="U129" i="24" s="1"/>
  <c r="G133" i="6"/>
  <c r="U125" i="24" s="1"/>
  <c r="G123" i="6"/>
  <c r="U115" i="24" s="1"/>
  <c r="U100" i="24"/>
  <c r="G95" i="6"/>
  <c r="U87" i="24" s="1"/>
  <c r="G96" i="6"/>
  <c r="G97" i="6"/>
  <c r="G98" i="6"/>
  <c r="G99" i="6"/>
  <c r="G101" i="6"/>
  <c r="U93" i="24" s="1"/>
  <c r="G102" i="6"/>
  <c r="G94" i="6"/>
  <c r="U86" i="24" s="1"/>
  <c r="G87" i="6"/>
  <c r="U79" i="24" s="1"/>
  <c r="G88" i="6"/>
  <c r="G89" i="6"/>
  <c r="G90" i="6"/>
  <c r="G91" i="6"/>
  <c r="U83" i="24" s="1"/>
  <c r="G92" i="6"/>
  <c r="U84" i="24" s="1"/>
  <c r="G86" i="6"/>
  <c r="G77" i="6"/>
  <c r="U70" i="24" s="1"/>
  <c r="G78" i="6"/>
  <c r="U71" i="24" s="1"/>
  <c r="G79" i="6"/>
  <c r="U72" i="24" s="1"/>
  <c r="G80" i="6"/>
  <c r="G81" i="6"/>
  <c r="G82" i="6"/>
  <c r="U75" i="24" s="1"/>
  <c r="G76" i="6"/>
  <c r="G73" i="6"/>
  <c r="U66" i="24" s="1"/>
  <c r="G74" i="6"/>
  <c r="G72" i="6"/>
  <c r="U65" i="24" s="1"/>
  <c r="G64" i="6"/>
  <c r="G65" i="6"/>
  <c r="U58" i="24" s="1"/>
  <c r="G66" i="6"/>
  <c r="G67" i="6"/>
  <c r="U60" i="24" s="1"/>
  <c r="G68" i="6"/>
  <c r="U61" i="24" s="1"/>
  <c r="G69" i="6"/>
  <c r="G70" i="6"/>
  <c r="U63" i="24" s="1"/>
  <c r="G63" i="6"/>
  <c r="U56" i="24" s="1"/>
  <c r="G60" i="6"/>
  <c r="U53" i="24" s="1"/>
  <c r="G61" i="6"/>
  <c r="U54" i="24" s="1"/>
  <c r="G59" i="6"/>
  <c r="G50" i="6"/>
  <c r="U43" i="24" s="1"/>
  <c r="G51" i="6"/>
  <c r="U44" i="24" s="1"/>
  <c r="G52" i="6"/>
  <c r="G53" i="6"/>
  <c r="U46" i="24" s="1"/>
  <c r="G54" i="6"/>
  <c r="G55" i="6"/>
  <c r="U48" i="24" s="1"/>
  <c r="G56" i="6"/>
  <c r="G57" i="6"/>
  <c r="U50" i="24" s="1"/>
  <c r="G49" i="6"/>
  <c r="U42" i="24" s="1"/>
  <c r="G40" i="6"/>
  <c r="U33" i="24" s="1"/>
  <c r="G41" i="6"/>
  <c r="G42" i="6"/>
  <c r="G43" i="6"/>
  <c r="U36" i="24" s="1"/>
  <c r="G44" i="6"/>
  <c r="G45" i="6"/>
  <c r="U38" i="24" s="1"/>
  <c r="G46" i="6"/>
  <c r="U39" i="24" s="1"/>
  <c r="G47" i="6"/>
  <c r="U40" i="24" s="1"/>
  <c r="G39" i="6"/>
  <c r="U32" i="24" s="1"/>
  <c r="G30" i="6"/>
  <c r="G31" i="6"/>
  <c r="G32" i="6"/>
  <c r="U25" i="24" s="1"/>
  <c r="G33" i="6"/>
  <c r="G34" i="6"/>
  <c r="G35" i="6"/>
  <c r="U28" i="24" s="1"/>
  <c r="G36" i="6"/>
  <c r="U29" i="24" s="1"/>
  <c r="G37" i="6"/>
  <c r="G29" i="6"/>
  <c r="U22" i="24" s="1"/>
  <c r="G20" i="6"/>
  <c r="G21" i="6"/>
  <c r="U14" i="24" s="1"/>
  <c r="G22" i="6"/>
  <c r="U15" i="24" s="1"/>
  <c r="G23" i="6"/>
  <c r="G24" i="6"/>
  <c r="G25" i="6"/>
  <c r="U18" i="24" s="1"/>
  <c r="G26" i="6"/>
  <c r="U19" i="24" s="1"/>
  <c r="G27" i="6"/>
  <c r="G19" i="6"/>
  <c r="U12" i="24" s="1"/>
  <c r="G11" i="6"/>
  <c r="B7" i="13"/>
  <c r="G12" i="6"/>
  <c r="G13" i="6"/>
  <c r="U6" i="24" s="1"/>
  <c r="G14" i="6"/>
  <c r="U7" i="24" s="1"/>
  <c r="G15" i="6"/>
  <c r="G16" i="6"/>
  <c r="G17" i="6"/>
  <c r="G9" i="5"/>
  <c r="U3" i="20" s="1"/>
  <c r="G10" i="5"/>
  <c r="G11" i="5"/>
  <c r="U5" i="20" s="1"/>
  <c r="G12" i="5"/>
  <c r="U6" i="20" s="1"/>
  <c r="G13" i="5"/>
  <c r="G14" i="5"/>
  <c r="G17" i="5"/>
  <c r="G18" i="5"/>
  <c r="G19" i="5"/>
  <c r="G20" i="5"/>
  <c r="U14" i="20" s="1"/>
  <c r="G21" i="5"/>
  <c r="U15" i="20" s="1"/>
  <c r="G22" i="5"/>
  <c r="U16" i="20" s="1"/>
  <c r="G23" i="5"/>
  <c r="G24" i="5"/>
  <c r="G25" i="5"/>
  <c r="G26" i="5"/>
  <c r="G27" i="5"/>
  <c r="U21" i="20" s="1"/>
  <c r="G29" i="5"/>
  <c r="G30" i="5"/>
  <c r="U24" i="20" s="1"/>
  <c r="G31" i="5"/>
  <c r="U25" i="20" s="1"/>
  <c r="G32" i="5"/>
  <c r="U26" i="20" s="1"/>
  <c r="G33" i="5"/>
  <c r="G34" i="5"/>
  <c r="U28" i="20" s="1"/>
  <c r="G36" i="5"/>
  <c r="G35" i="5" s="1"/>
  <c r="U29" i="20" s="1"/>
  <c r="U33" i="20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P12" i="31"/>
  <c r="C18" i="13"/>
  <c r="Q12" i="31" s="1"/>
  <c r="D18" i="13"/>
  <c r="R12" i="31" s="1"/>
  <c r="E18" i="13"/>
  <c r="S12" i="31" s="1"/>
  <c r="F18" i="13"/>
  <c r="F29" i="13" s="1"/>
  <c r="T2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D29" i="13"/>
  <c r="R22" i="31"/>
  <c r="E7" i="13"/>
  <c r="E29" i="13" s="1"/>
  <c r="S22" i="31" s="1"/>
  <c r="F7" i="13"/>
  <c r="G7" i="13"/>
  <c r="G29" i="13" s="1"/>
  <c r="U22" i="31" s="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/>
  <c r="G21" i="12"/>
  <c r="G31" i="12" s="1"/>
  <c r="U23" i="30" s="1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R2" i="30" s="1"/>
  <c r="E7" i="12"/>
  <c r="E31" i="12"/>
  <c r="S23" i="30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D30" i="11" s="1"/>
  <c r="R22" i="29" s="1"/>
  <c r="E8" i="11"/>
  <c r="E30" i="11"/>
  <c r="S22" i="29" s="1"/>
  <c r="F8" i="11"/>
  <c r="F30" i="11" s="1"/>
  <c r="T22" i="29" s="1"/>
  <c r="G8" i="11"/>
  <c r="S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/>
  <c r="G29" i="10"/>
  <c r="U21" i="28" s="1"/>
  <c r="Q22" i="28"/>
  <c r="R22" i="28"/>
  <c r="S22" i="28"/>
  <c r="T22" i="28"/>
  <c r="U22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 s="1"/>
  <c r="Q2" i="27" s="1"/>
  <c r="D12" i="9"/>
  <c r="R5" i="27" s="1"/>
  <c r="D16" i="9"/>
  <c r="R9" i="27" s="1"/>
  <c r="E12" i="9"/>
  <c r="S5" i="27" s="1"/>
  <c r="E16" i="9"/>
  <c r="S9" i="27" s="1"/>
  <c r="E9" i="9"/>
  <c r="S2" i="27" s="1"/>
  <c r="F12" i="9"/>
  <c r="T5" i="27" s="1"/>
  <c r="F16" i="9"/>
  <c r="Q3" i="27"/>
  <c r="R3" i="27"/>
  <c r="S3" i="27"/>
  <c r="T3" i="27"/>
  <c r="Q4" i="27"/>
  <c r="R4" i="27"/>
  <c r="S4" i="27"/>
  <c r="T4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8" i="9"/>
  <c r="Q20" i="27" s="1"/>
  <c r="D24" i="9"/>
  <c r="R16" i="27" s="1"/>
  <c r="D28" i="9"/>
  <c r="E24" i="9"/>
  <c r="S16" i="27" s="1"/>
  <c r="E28" i="9"/>
  <c r="S20" i="27" s="1"/>
  <c r="F24" i="9"/>
  <c r="F28" i="9"/>
  <c r="T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Q12" i="26" s="1"/>
  <c r="C27" i="8"/>
  <c r="Q20" i="26" s="1"/>
  <c r="C37" i="8"/>
  <c r="Q30" i="26" s="1"/>
  <c r="D10" i="8"/>
  <c r="D19" i="8"/>
  <c r="R12" i="26" s="1"/>
  <c r="D27" i="8"/>
  <c r="R20" i="26" s="1"/>
  <c r="D37" i="8"/>
  <c r="R30" i="26" s="1"/>
  <c r="E10" i="8"/>
  <c r="S3" i="26" s="1"/>
  <c r="E19" i="8"/>
  <c r="S12" i="26" s="1"/>
  <c r="E27" i="8"/>
  <c r="E37" i="8"/>
  <c r="S30" i="26" s="1"/>
  <c r="F10" i="8"/>
  <c r="F19" i="8"/>
  <c r="T12" i="26" s="1"/>
  <c r="F27" i="8"/>
  <c r="T20" i="26" s="1"/>
  <c r="F37" i="8"/>
  <c r="T30" i="26" s="1"/>
  <c r="Q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E53" i="8"/>
  <c r="S45" i="26" s="1"/>
  <c r="E61" i="8"/>
  <c r="S53" i="26" s="1"/>
  <c r="E71" i="8"/>
  <c r="S63" i="26" s="1"/>
  <c r="F44" i="8"/>
  <c r="T36" i="26" s="1"/>
  <c r="F53" i="8"/>
  <c r="T45" i="26" s="1"/>
  <c r="F61" i="8"/>
  <c r="T53" i="26" s="1"/>
  <c r="F71" i="8"/>
  <c r="T63" i="26" s="1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65" i="7"/>
  <c r="T3" i="25" s="1"/>
  <c r="E9" i="7"/>
  <c r="E65" i="7"/>
  <c r="S3" i="25" s="1"/>
  <c r="D9" i="7"/>
  <c r="R2" i="25" s="1"/>
  <c r="D65" i="7"/>
  <c r="R3" i="25" s="1"/>
  <c r="C9" i="7"/>
  <c r="Q2" i="25" s="1"/>
  <c r="C65" i="7"/>
  <c r="Q3" i="25" s="1"/>
  <c r="B9" i="7"/>
  <c r="P2" i="25" s="1"/>
  <c r="B65" i="7"/>
  <c r="P3" i="25" s="1"/>
  <c r="A3" i="25"/>
  <c r="A4" i="25"/>
  <c r="A2" i="25"/>
  <c r="A87" i="24"/>
  <c r="C85" i="6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C150" i="6"/>
  <c r="Q142" i="24" s="1"/>
  <c r="D85" i="6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R142" i="24" s="1"/>
  <c r="E85" i="6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G146" i="6"/>
  <c r="U138" i="24" s="1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Q11" i="24" s="1"/>
  <c r="C28" i="6"/>
  <c r="Q21" i="24" s="1"/>
  <c r="C38" i="6"/>
  <c r="Q31" i="24" s="1"/>
  <c r="C48" i="6"/>
  <c r="Q41" i="24" s="1"/>
  <c r="C58" i="6"/>
  <c r="Q51" i="24" s="1"/>
  <c r="C71" i="6"/>
  <c r="C75" i="6"/>
  <c r="Q68" i="24" s="1"/>
  <c r="D10" i="6"/>
  <c r="D18" i="6"/>
  <c r="R11" i="24" s="1"/>
  <c r="D28" i="6"/>
  <c r="R21" i="24" s="1"/>
  <c r="D38" i="6"/>
  <c r="R31" i="24" s="1"/>
  <c r="D48" i="6"/>
  <c r="R41" i="24" s="1"/>
  <c r="D58" i="6"/>
  <c r="R51" i="24" s="1"/>
  <c r="D71" i="6"/>
  <c r="R64" i="24" s="1"/>
  <c r="D75" i="6"/>
  <c r="E10" i="6"/>
  <c r="S3" i="24" s="1"/>
  <c r="E18" i="6"/>
  <c r="E28" i="6"/>
  <c r="E38" i="6"/>
  <c r="S31" i="24" s="1"/>
  <c r="E48" i="6"/>
  <c r="S41" i="24" s="1"/>
  <c r="E58" i="6"/>
  <c r="E71" i="6"/>
  <c r="S64" i="24" s="1"/>
  <c r="E75" i="6"/>
  <c r="S68" i="24" s="1"/>
  <c r="F10" i="6"/>
  <c r="F18" i="6"/>
  <c r="T11" i="24" s="1"/>
  <c r="F28" i="6"/>
  <c r="F38" i="6"/>
  <c r="T31" i="24" s="1"/>
  <c r="F48" i="6"/>
  <c r="T41" i="24" s="1"/>
  <c r="F58" i="6"/>
  <c r="F71" i="6"/>
  <c r="F75" i="6"/>
  <c r="T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B146" i="6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U20" i="24"/>
  <c r="S21" i="24"/>
  <c r="T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S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Q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Q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U67" i="24"/>
  <c r="R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7" i="20"/>
  <c r="U8" i="20"/>
  <c r="U9" i="20"/>
  <c r="U12" i="20"/>
  <c r="U13" i="20"/>
  <c r="U17" i="20"/>
  <c r="U18" i="20"/>
  <c r="U19" i="20"/>
  <c r="U20" i="20"/>
  <c r="U27" i="20"/>
  <c r="U39" i="20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5" i="5"/>
  <c r="P29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E5" i="13"/>
  <c r="C5" i="13"/>
  <c r="B5" i="13"/>
  <c r="E5" i="12"/>
  <c r="D5" i="12"/>
  <c r="B5" i="12"/>
  <c r="I25" i="23"/>
  <c r="D23" i="23"/>
  <c r="B6" i="11" s="1"/>
  <c r="I23" i="23"/>
  <c r="G6" i="11" s="1"/>
  <c r="H23" i="23"/>
  <c r="F6" i="10" s="1"/>
  <c r="G23" i="23"/>
  <c r="E6" i="11" s="1"/>
  <c r="F23" i="23"/>
  <c r="D6" i="11" s="1"/>
  <c r="E23" i="23"/>
  <c r="C6" i="11" s="1"/>
  <c r="G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U4" i="17" s="1"/>
  <c r="E14" i="3"/>
  <c r="S4" i="17" s="1"/>
  <c r="K8" i="3"/>
  <c r="J8" i="3"/>
  <c r="X3" i="17" s="1"/>
  <c r="H8" i="3"/>
  <c r="G8" i="3"/>
  <c r="E8" i="3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U14" i="16"/>
  <c r="R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Q71" i="15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C49" i="4"/>
  <c r="Q27" i="18" s="1"/>
  <c r="D49" i="4"/>
  <c r="R27" i="18" s="1"/>
  <c r="C29" i="4"/>
  <c r="Q15" i="18" s="1"/>
  <c r="D29" i="4"/>
  <c r="R15" i="18" s="1"/>
  <c r="C40" i="4"/>
  <c r="D40" i="4"/>
  <c r="R22" i="18" s="1"/>
  <c r="C37" i="4"/>
  <c r="C44" i="4" s="1"/>
  <c r="Q25" i="18" s="1"/>
  <c r="D37" i="4"/>
  <c r="C17" i="4"/>
  <c r="Q9" i="18" s="1"/>
  <c r="C13" i="4"/>
  <c r="Q6" i="18" s="1"/>
  <c r="D13" i="4"/>
  <c r="R6" i="18" s="1"/>
  <c r="W3" i="17"/>
  <c r="Q17" i="16"/>
  <c r="R15" i="16"/>
  <c r="Q14" i="16"/>
  <c r="V14" i="16"/>
  <c r="P14" i="16"/>
  <c r="R8" i="16"/>
  <c r="S8" i="16"/>
  <c r="T8" i="16"/>
  <c r="H13" i="2"/>
  <c r="V8" i="16" s="1"/>
  <c r="P8" i="16"/>
  <c r="Q4" i="16"/>
  <c r="S4" i="16"/>
  <c r="T4" i="16"/>
  <c r="U3" i="16"/>
  <c r="H9" i="2"/>
  <c r="H8" i="2" s="1"/>
  <c r="P4" i="16"/>
  <c r="P4" i="15"/>
  <c r="Q22" i="18"/>
  <c r="R31" i="18"/>
  <c r="Q32" i="18"/>
  <c r="S3" i="17"/>
  <c r="U8" i="16"/>
  <c r="S14" i="16"/>
  <c r="T14" i="16"/>
  <c r="B20" i="2"/>
  <c r="P13" i="16" s="1"/>
  <c r="T3" i="16"/>
  <c r="P3" i="16"/>
  <c r="G20" i="2"/>
  <c r="U13" i="16" s="1"/>
  <c r="Q19" i="18" l="1"/>
  <c r="D44" i="4"/>
  <c r="D11" i="4" s="1"/>
  <c r="D8" i="4" s="1"/>
  <c r="R2" i="18" s="1"/>
  <c r="C72" i="4"/>
  <c r="C74" i="4" s="1"/>
  <c r="Q39" i="18" s="1"/>
  <c r="R19" i="18"/>
  <c r="B44" i="4"/>
  <c r="P25" i="18" s="1"/>
  <c r="C57" i="4"/>
  <c r="C59" i="4" s="1"/>
  <c r="B57" i="4"/>
  <c r="B59" i="4" s="1"/>
  <c r="P26" i="18"/>
  <c r="B72" i="4"/>
  <c r="G65" i="7"/>
  <c r="U3" i="25" s="1"/>
  <c r="G9" i="7"/>
  <c r="D81" i="7"/>
  <c r="R4" i="25" s="1"/>
  <c r="E81" i="7"/>
  <c r="S4" i="25" s="1"/>
  <c r="S2" i="25"/>
  <c r="C81" i="7"/>
  <c r="Q4" i="25" s="1"/>
  <c r="G28" i="9"/>
  <c r="U20" i="27" s="1"/>
  <c r="D21" i="9"/>
  <c r="R13" i="27" s="1"/>
  <c r="R20" i="27"/>
  <c r="E21" i="9"/>
  <c r="E33" i="9" s="1"/>
  <c r="S24" i="27" s="1"/>
  <c r="G12" i="9"/>
  <c r="U5" i="27" s="1"/>
  <c r="F9" i="9"/>
  <c r="T2" i="27" s="1"/>
  <c r="B43" i="8"/>
  <c r="P35" i="26" s="1"/>
  <c r="G44" i="8"/>
  <c r="U36" i="26" s="1"/>
  <c r="G27" i="8"/>
  <c r="U20" i="26" s="1"/>
  <c r="G10" i="8"/>
  <c r="U3" i="26" s="1"/>
  <c r="E9" i="8"/>
  <c r="S2" i="26" s="1"/>
  <c r="G61" i="8"/>
  <c r="U53" i="26" s="1"/>
  <c r="G71" i="8"/>
  <c r="U63" i="26" s="1"/>
  <c r="G58" i="6"/>
  <c r="U51" i="24" s="1"/>
  <c r="G28" i="6"/>
  <c r="U21" i="24" s="1"/>
  <c r="F84" i="6"/>
  <c r="T76" i="24" s="1"/>
  <c r="E84" i="6"/>
  <c r="S76" i="24" s="1"/>
  <c r="D84" i="6"/>
  <c r="R76" i="24" s="1"/>
  <c r="T77" i="24"/>
  <c r="G85" i="6"/>
  <c r="U77" i="24" s="1"/>
  <c r="S77" i="24"/>
  <c r="R77" i="24"/>
  <c r="G71" i="6"/>
  <c r="U64" i="24" s="1"/>
  <c r="G38" i="6"/>
  <c r="U31" i="24" s="1"/>
  <c r="D9" i="6"/>
  <c r="R2" i="24" s="1"/>
  <c r="C9" i="6"/>
  <c r="Q2" i="24" s="1"/>
  <c r="G10" i="6"/>
  <c r="U3" i="24" s="1"/>
  <c r="U4" i="24"/>
  <c r="R3" i="24"/>
  <c r="G54" i="5"/>
  <c r="U46" i="20" s="1"/>
  <c r="B65" i="5"/>
  <c r="P56" i="20" s="1"/>
  <c r="C65" i="5"/>
  <c r="Q56" i="20" s="1"/>
  <c r="G45" i="5"/>
  <c r="G37" i="5"/>
  <c r="U31" i="20" s="1"/>
  <c r="C41" i="5"/>
  <c r="Q34" i="20" s="1"/>
  <c r="G75" i="5"/>
  <c r="U62" i="20" s="1"/>
  <c r="U58" i="20"/>
  <c r="D65" i="5"/>
  <c r="R56" i="20" s="1"/>
  <c r="U38" i="20"/>
  <c r="E65" i="5"/>
  <c r="S56" i="20" s="1"/>
  <c r="Q51" i="20"/>
  <c r="G59" i="5"/>
  <c r="U51" i="20" s="1"/>
  <c r="B41" i="5"/>
  <c r="U32" i="20"/>
  <c r="U30" i="20"/>
  <c r="D41" i="5"/>
  <c r="G20" i="3"/>
  <c r="U5" i="17" s="1"/>
  <c r="K20" i="3"/>
  <c r="Y5" i="17" s="1"/>
  <c r="H20" i="3"/>
  <c r="V5" i="17" s="1"/>
  <c r="J20" i="3"/>
  <c r="X5" i="17" s="1"/>
  <c r="V3" i="17"/>
  <c r="U3" i="17"/>
  <c r="V4" i="16"/>
  <c r="F79" i="1"/>
  <c r="Q119" i="15" s="1"/>
  <c r="E79" i="1"/>
  <c r="P119" i="15" s="1"/>
  <c r="B47" i="1"/>
  <c r="P42" i="15" s="1"/>
  <c r="B6" i="1"/>
  <c r="B6" i="10"/>
  <c r="C6" i="10"/>
  <c r="F6" i="11"/>
  <c r="A2" i="9"/>
  <c r="A2" i="8"/>
  <c r="A2" i="1"/>
  <c r="A2" i="10"/>
  <c r="A2" i="2"/>
  <c r="A2" i="3"/>
  <c r="A2" i="5"/>
  <c r="A2" i="4"/>
  <c r="A2" i="7"/>
  <c r="D20" i="2"/>
  <c r="R13" i="16" s="1"/>
  <c r="R3" i="16"/>
  <c r="C11" i="4"/>
  <c r="F32" i="10"/>
  <c r="T23" i="28" s="1"/>
  <c r="G18" i="6"/>
  <c r="U11" i="24" s="1"/>
  <c r="F9" i="8"/>
  <c r="T2" i="26" s="1"/>
  <c r="T3" i="26"/>
  <c r="V3" i="16"/>
  <c r="H20" i="2"/>
  <c r="V13" i="16" s="1"/>
  <c r="G24" i="9"/>
  <c r="U18" i="27"/>
  <c r="Q37" i="18"/>
  <c r="R4" i="16"/>
  <c r="E41" i="5"/>
  <c r="B84" i="6"/>
  <c r="P76" i="24" s="1"/>
  <c r="T3" i="24"/>
  <c r="F9" i="6"/>
  <c r="C30" i="11"/>
  <c r="Q22" i="29" s="1"/>
  <c r="Q2" i="29"/>
  <c r="G37" i="8"/>
  <c r="U30" i="26" s="1"/>
  <c r="U31" i="26"/>
  <c r="G53" i="8"/>
  <c r="U45" i="26" s="1"/>
  <c r="U46" i="26"/>
  <c r="F20" i="2"/>
  <c r="T13" i="16" s="1"/>
  <c r="C47" i="1"/>
  <c r="F81" i="7"/>
  <c r="T4" i="25" s="1"/>
  <c r="T2" i="25"/>
  <c r="C43" i="8"/>
  <c r="Q36" i="26"/>
  <c r="C21" i="9"/>
  <c r="Q16" i="27"/>
  <c r="U3" i="27"/>
  <c r="F47" i="1"/>
  <c r="G19" i="8"/>
  <c r="U12" i="26" s="1"/>
  <c r="U11" i="20"/>
  <c r="G16" i="5"/>
  <c r="C20" i="2"/>
  <c r="Q13" i="16" s="1"/>
  <c r="Q3" i="16"/>
  <c r="R26" i="18"/>
  <c r="D57" i="4"/>
  <c r="D59" i="4" s="1"/>
  <c r="E47" i="1"/>
  <c r="C84" i="6"/>
  <c r="B9" i="8"/>
  <c r="P2" i="26" s="1"/>
  <c r="P3" i="26"/>
  <c r="D9" i="8"/>
  <c r="R2" i="26" s="1"/>
  <c r="R3" i="26"/>
  <c r="U23" i="20"/>
  <c r="G28" i="5"/>
  <c r="U22" i="20" s="1"/>
  <c r="S37" i="20"/>
  <c r="F21" i="9"/>
  <c r="T16" i="27"/>
  <c r="G30" i="11"/>
  <c r="U22" i="29" s="1"/>
  <c r="U2" i="29"/>
  <c r="Y3" i="17"/>
  <c r="E43" i="8"/>
  <c r="S36" i="26"/>
  <c r="G113" i="6"/>
  <c r="U105" i="24" s="1"/>
  <c r="U107" i="24"/>
  <c r="G150" i="6"/>
  <c r="U142" i="24" s="1"/>
  <c r="U143" i="24"/>
  <c r="G48" i="6"/>
  <c r="U41" i="24" s="1"/>
  <c r="G75" i="6"/>
  <c r="U68" i="24" s="1"/>
  <c r="G93" i="6"/>
  <c r="U85" i="24" s="1"/>
  <c r="G103" i="6"/>
  <c r="U95" i="24" s="1"/>
  <c r="E20" i="3"/>
  <c r="S5" i="17" s="1"/>
  <c r="D6" i="10"/>
  <c r="Q77" i="24"/>
  <c r="F43" i="8"/>
  <c r="D43" i="8"/>
  <c r="C9" i="8"/>
  <c r="Q2" i="26" s="1"/>
  <c r="B9" i="9"/>
  <c r="P2" i="27" s="1"/>
  <c r="B21" i="9"/>
  <c r="D32" i="10"/>
  <c r="R23" i="28" s="1"/>
  <c r="U2" i="31"/>
  <c r="G62" i="6"/>
  <c r="U55" i="24" s="1"/>
  <c r="Q8" i="16"/>
  <c r="P110" i="15"/>
  <c r="E6" i="10"/>
  <c r="E9" i="6"/>
  <c r="P19" i="18"/>
  <c r="B81" i="7"/>
  <c r="P4" i="25" s="1"/>
  <c r="D9" i="9"/>
  <c r="C32" i="10"/>
  <c r="Q23" i="28" s="1"/>
  <c r="D31" i="12"/>
  <c r="R23" i="30" s="1"/>
  <c r="T12" i="31"/>
  <c r="U14" i="26"/>
  <c r="U4" i="16"/>
  <c r="A2" i="11"/>
  <c r="U57" i="26"/>
  <c r="P2" i="30"/>
  <c r="P33" i="18"/>
  <c r="A2" i="12"/>
  <c r="F65" i="5"/>
  <c r="T56" i="20" s="1"/>
  <c r="F41" i="5"/>
  <c r="U116" i="24"/>
  <c r="U92" i="24"/>
  <c r="C31" i="12"/>
  <c r="Q23" i="30" s="1"/>
  <c r="B9" i="6"/>
  <c r="D72" i="4"/>
  <c r="U99" i="24"/>
  <c r="Q9" i="27"/>
  <c r="G32" i="10"/>
  <c r="U23" i="28" s="1"/>
  <c r="R2" i="29"/>
  <c r="T2" i="30"/>
  <c r="I20" i="3"/>
  <c r="W5" i="17" s="1"/>
  <c r="U130" i="24"/>
  <c r="A2" i="6"/>
  <c r="R25" i="18" l="1"/>
  <c r="Q38" i="18"/>
  <c r="R5" i="18"/>
  <c r="D21" i="4"/>
  <c r="R12" i="18" s="1"/>
  <c r="B11" i="4"/>
  <c r="P5" i="18" s="1"/>
  <c r="P38" i="18"/>
  <c r="B74" i="4"/>
  <c r="P39" i="18" s="1"/>
  <c r="G81" i="7"/>
  <c r="U4" i="25" s="1"/>
  <c r="U2" i="25"/>
  <c r="S13" i="27"/>
  <c r="G9" i="9"/>
  <c r="U2" i="27" s="1"/>
  <c r="B77" i="8"/>
  <c r="P68" i="26" s="1"/>
  <c r="D159" i="6"/>
  <c r="R150" i="24" s="1"/>
  <c r="G65" i="5"/>
  <c r="U56" i="20" s="1"/>
  <c r="U37" i="20"/>
  <c r="B70" i="5"/>
  <c r="C70" i="5"/>
  <c r="P34" i="20"/>
  <c r="R34" i="20"/>
  <c r="D70" i="5"/>
  <c r="B62" i="1"/>
  <c r="P54" i="15" s="1"/>
  <c r="P13" i="27"/>
  <c r="B33" i="9"/>
  <c r="P24" i="27" s="1"/>
  <c r="E59" i="1"/>
  <c r="P95" i="15"/>
  <c r="Q95" i="15"/>
  <c r="F59" i="1"/>
  <c r="T13" i="27"/>
  <c r="F33" i="9"/>
  <c r="T24" i="27" s="1"/>
  <c r="G9" i="6"/>
  <c r="S3" i="16"/>
  <c r="E20" i="2"/>
  <c r="S13" i="16" s="1"/>
  <c r="R35" i="26"/>
  <c r="D77" i="8"/>
  <c r="R68" i="26" s="1"/>
  <c r="G43" i="8"/>
  <c r="Q76" i="24"/>
  <c r="C159" i="6"/>
  <c r="Q150" i="24" s="1"/>
  <c r="R2" i="27"/>
  <c r="D33" i="9"/>
  <c r="R24" i="27" s="1"/>
  <c r="G21" i="9"/>
  <c r="U16" i="27"/>
  <c r="F77" i="8"/>
  <c r="T68" i="26" s="1"/>
  <c r="T35" i="26"/>
  <c r="Q13" i="27"/>
  <c r="C33" i="9"/>
  <c r="Q24" i="27" s="1"/>
  <c r="F70" i="5"/>
  <c r="T34" i="20"/>
  <c r="T2" i="24"/>
  <c r="F159" i="6"/>
  <c r="T150" i="24" s="1"/>
  <c r="E77" i="8"/>
  <c r="S68" i="26" s="1"/>
  <c r="S35" i="26"/>
  <c r="Q35" i="26"/>
  <c r="C77" i="8"/>
  <c r="Q68" i="26" s="1"/>
  <c r="C8" i="4"/>
  <c r="Q5" i="18"/>
  <c r="S2" i="24"/>
  <c r="E159" i="6"/>
  <c r="S150" i="24" s="1"/>
  <c r="G84" i="6"/>
  <c r="U76" i="24" s="1"/>
  <c r="U10" i="20"/>
  <c r="G41" i="5"/>
  <c r="G9" i="8"/>
  <c r="U2" i="26" s="1"/>
  <c r="R38" i="18"/>
  <c r="D74" i="4"/>
  <c r="R39" i="18" s="1"/>
  <c r="S34" i="20"/>
  <c r="E70" i="5"/>
  <c r="B159" i="6"/>
  <c r="P150" i="24" s="1"/>
  <c r="P2" i="24"/>
  <c r="C62" i="1"/>
  <c r="Q54" i="15" s="1"/>
  <c r="Q42" i="15"/>
  <c r="B8" i="4" l="1"/>
  <c r="B21" i="4" s="1"/>
  <c r="D23" i="4"/>
  <c r="R13" i="18" s="1"/>
  <c r="U2" i="24"/>
  <c r="G159" i="6"/>
  <c r="U150" i="24" s="1"/>
  <c r="G33" i="9"/>
  <c r="U24" i="27" s="1"/>
  <c r="U13" i="27"/>
  <c r="G42" i="5"/>
  <c r="U35" i="20" s="1"/>
  <c r="G70" i="5"/>
  <c r="U34" i="20"/>
  <c r="C21" i="4"/>
  <c r="Q2" i="18"/>
  <c r="P2" i="18"/>
  <c r="F81" i="1"/>
  <c r="Q120" i="15" s="1"/>
  <c r="Q104" i="15"/>
  <c r="P104" i="15"/>
  <c r="E81" i="1"/>
  <c r="P120" i="15" s="1"/>
  <c r="U35" i="26"/>
  <c r="G77" i="8"/>
  <c r="U68" i="26" s="1"/>
  <c r="D25" i="4" l="1"/>
  <c r="R14" i="18" s="1"/>
  <c r="P12" i="18"/>
  <c r="B23" i="4"/>
  <c r="C23" i="4"/>
  <c r="Q12" i="18"/>
  <c r="D33" i="4" l="1"/>
  <c r="R18" i="18" s="1"/>
  <c r="C25" i="4"/>
  <c r="Q13" i="18"/>
  <c r="B25" i="4"/>
  <c r="P13" i="18"/>
  <c r="B33" i="4" l="1"/>
  <c r="P18" i="18" s="1"/>
  <c r="P14" i="18"/>
  <c r="C33" i="4"/>
  <c r="Q18" i="18" s="1"/>
  <c r="Q14" i="18"/>
</calcChain>
</file>

<file path=xl/sharedStrings.xml><?xml version="1.0" encoding="utf-8"?>
<sst xmlns="http://schemas.openxmlformats.org/spreadsheetml/2006/main" count="4323" uniqueCount="3355">
  <si>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</si>
  <si>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</si>
  <si>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</si>
  <si>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</si>
  <si>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</si>
  <si>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</si>
  <si>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</si>
  <si>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</si>
  <si>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</si>
  <si>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</si>
  <si>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</si>
  <si>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</si>
  <si>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</si>
  <si>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</si>
  <si>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</si>
  <si>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</si>
  <si>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</si>
  <si>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</si>
  <si>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</si>
  <si>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</si>
  <si>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</si>
  <si>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</si>
  <si>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</si>
  <si>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</si>
  <si>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</si>
  <si>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</si>
  <si>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</si>
  <si>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</si>
  <si>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</si>
  <si>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</si>
  <si>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</si>
  <si>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</si>
  <si>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</si>
  <si>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</si>
  <si>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</si>
  <si>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</si>
  <si>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</si>
  <si>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</si>
  <si>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</si>
  <si>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</si>
  <si>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</si>
  <si>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</si>
  <si>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</si>
  <si>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</si>
  <si>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</si>
  <si>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</si>
  <si>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</si>
  <si>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</si>
  <si>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</si>
  <si>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</si>
  <si>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</si>
  <si>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</si>
  <si>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</si>
  <si>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</si>
  <si>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</si>
  <si>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</si>
  <si>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</si>
  <si>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</si>
  <si>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</si>
  <si>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</si>
  <si>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</si>
  <si>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</si>
  <si>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</si>
  <si>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</si>
  <si>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</si>
  <si>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</si>
  <si>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</si>
  <si>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</si>
  <si>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</si>
  <si>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</si>
  <si>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</si>
  <si>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</si>
  <si>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</si>
  <si>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</si>
  <si>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</si>
  <si>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</si>
  <si>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</si>
  <si>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</si>
  <si>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</si>
  <si>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</si>
  <si>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</si>
  <si>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</si>
  <si>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</si>
  <si>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</si>
  <si>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</si>
  <si>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</si>
  <si>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</si>
  <si>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</si>
  <si>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</si>
  <si>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</si>
  <si>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</si>
  <si>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</si>
  <si>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</si>
  <si>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</si>
  <si>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</si>
  <si>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</si>
  <si>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</si>
  <si>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</si>
  <si>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</si>
  <si>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</si>
  <si>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</si>
  <si>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</si>
  <si>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</si>
  <si>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</si>
  <si>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</si>
  <si>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</si>
  <si>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</si>
  <si>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</si>
  <si>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</si>
  <si>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</si>
  <si>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</si>
  <si>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</si>
  <si>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</si>
  <si>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</si>
  <si>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</si>
  <si>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</si>
  <si>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</si>
  <si>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</si>
  <si>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</si>
  <si>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</si>
  <si>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</si>
  <si>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</si>
  <si>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</si>
  <si>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</si>
  <si>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</si>
  <si>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</si>
  <si>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</si>
  <si>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</si>
  <si>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</si>
  <si>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</si>
  <si>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</si>
  <si>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</si>
  <si>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</si>
  <si>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</si>
  <si>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</si>
  <si>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</si>
  <si>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</si>
  <si>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</si>
  <si>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</si>
  <si>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</si>
  <si>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</si>
  <si>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</si>
  <si>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</si>
  <si>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</si>
  <si>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</si>
  <si>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</si>
  <si>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</si>
  <si>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</si>
  <si>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</si>
  <si>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</si>
  <si>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</si>
  <si>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</si>
  <si>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</si>
  <si>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</si>
  <si>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</si>
  <si>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</si>
  <si>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</si>
  <si>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</si>
  <si>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</si>
  <si>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</si>
  <si>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</si>
  <si>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</si>
  <si>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</si>
  <si>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</si>
  <si>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</si>
  <si>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</si>
  <si>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</si>
  <si>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</si>
  <si>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</si>
  <si>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</si>
  <si>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</si>
  <si>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</si>
  <si>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</si>
  <si>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</si>
  <si>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</si>
  <si>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</si>
  <si>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</si>
  <si>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</si>
  <si>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</si>
  <si>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</si>
  <si>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</si>
  <si>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</si>
  <si>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</si>
  <si>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</si>
  <si>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</si>
  <si>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</si>
  <si>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</si>
  <si>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</si>
  <si>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</si>
  <si>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</si>
  <si>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</si>
  <si>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</si>
  <si>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</si>
  <si>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</si>
  <si>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</si>
  <si>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</si>
  <si>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</si>
  <si>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</si>
  <si>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</si>
  <si>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</si>
  <si>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</si>
  <si>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</si>
  <si>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</si>
  <si>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</si>
  <si>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</si>
  <si>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</si>
  <si>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</si>
  <si>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</si>
  <si>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</si>
  <si>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</si>
  <si>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</si>
  <si>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</si>
  <si>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</si>
  <si>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</si>
  <si>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</si>
  <si>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</si>
  <si>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</si>
  <si>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</si>
  <si>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</si>
  <si>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</si>
  <si>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</si>
  <si>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</si>
  <si>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</si>
  <si>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</si>
  <si>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</si>
  <si>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</si>
  <si>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</si>
  <si>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</si>
  <si>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</si>
  <si>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</si>
  <si>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</si>
  <si>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</si>
  <si>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</si>
  <si>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</si>
  <si>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</si>
  <si>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</si>
  <si>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</si>
  <si>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</si>
  <si>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</si>
  <si>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</si>
  <si>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</si>
  <si>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</si>
  <si>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</si>
  <si>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</si>
  <si>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</si>
  <si>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</si>
  <si>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</si>
  <si>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</si>
  <si>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</si>
  <si>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</si>
  <si>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</si>
  <si>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</si>
  <si>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</si>
  <si>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</si>
  <si>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</si>
  <si>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</si>
  <si>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</si>
  <si>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</si>
  <si>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</si>
  <si>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</si>
  <si>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</si>
  <si>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</si>
  <si>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</si>
  <si>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</si>
  <si>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</si>
  <si>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</si>
  <si>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</si>
  <si>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</si>
  <si>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</si>
  <si>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</si>
  <si>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</si>
  <si>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</si>
  <si>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</si>
  <si>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</si>
  <si>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</si>
  <si>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</si>
  <si>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</si>
  <si>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</si>
  <si>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</si>
  <si>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</si>
  <si>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</si>
  <si>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</si>
  <si>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</si>
  <si>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</si>
  <si>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</si>
  <si>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</si>
  <si>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</si>
  <si>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</si>
  <si>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</si>
  <si>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</si>
  <si>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</si>
  <si>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</si>
  <si>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</si>
  <si>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</si>
  <si>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</si>
  <si>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</si>
  <si>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</si>
  <si>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</si>
  <si>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</si>
  <si>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</si>
  <si>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</si>
  <si>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</si>
  <si>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</si>
  <si>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</si>
  <si>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</si>
  <si>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</si>
  <si>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</si>
  <si>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</si>
  <si>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</si>
  <si>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</si>
  <si>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</si>
  <si>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</si>
  <si>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</si>
  <si>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</si>
  <si>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</si>
  <si>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</si>
  <si>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</si>
  <si>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</si>
  <si>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</si>
  <si>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</si>
  <si>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</si>
  <si>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</si>
  <si>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</si>
  <si>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</si>
  <si>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</si>
  <si>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</si>
  <si>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</si>
  <si>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</si>
  <si>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</si>
  <si>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</si>
  <si>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</si>
  <si>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</si>
  <si>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</si>
  <si>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</si>
  <si>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</si>
  <si>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</si>
  <si>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</si>
  <si>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</si>
  <si>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</si>
  <si>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</si>
  <si>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</si>
  <si>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</si>
  <si>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</si>
  <si>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</si>
  <si>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</si>
  <si>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</si>
  <si>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</si>
  <si>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</si>
  <si>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</si>
  <si>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</si>
  <si>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</si>
  <si>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</si>
  <si>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</si>
  <si>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</si>
  <si>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</si>
  <si>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</si>
  <si>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</si>
  <si>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</si>
  <si>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</si>
  <si>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</si>
  <si>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</si>
  <si>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</si>
  <si>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</si>
  <si>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</si>
  <si>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</si>
  <si>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</si>
  <si>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</si>
  <si>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</si>
  <si>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</si>
  <si>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</si>
  <si>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</si>
  <si>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</si>
  <si>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</si>
  <si>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</si>
  <si>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</si>
  <si>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</si>
  <si>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</si>
  <si>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</si>
  <si>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</si>
  <si>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</si>
  <si>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</si>
  <si>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</si>
  <si>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</si>
  <si>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</si>
  <si>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</si>
  <si>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</si>
  <si>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</si>
  <si>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</si>
  <si>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</si>
  <si>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</si>
  <si>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</si>
  <si>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</si>
  <si>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</si>
  <si>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</si>
  <si>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</si>
  <si>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</si>
  <si>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</si>
  <si>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</si>
  <si>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</si>
  <si>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</si>
  <si>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</si>
  <si>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</si>
  <si>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</si>
  <si>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</si>
  <si>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</si>
  <si>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</si>
  <si>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</si>
  <si>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</si>
  <si>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</si>
  <si>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</si>
  <si>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</si>
  <si>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</si>
  <si>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</si>
  <si>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</si>
  <si>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</si>
  <si>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</si>
  <si>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</si>
  <si>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</si>
  <si>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</si>
  <si>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</si>
  <si>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</si>
  <si>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</si>
  <si>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</si>
  <si>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</si>
  <si>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</si>
  <si>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</si>
  <si>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</si>
  <si>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</si>
  <si>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</si>
  <si>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</si>
  <si>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</si>
  <si>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</si>
  <si>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</si>
  <si>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</si>
  <si>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</si>
  <si>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</si>
  <si>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</si>
  <si>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</si>
  <si>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</si>
  <si>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</si>
  <si>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</si>
  <si>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</si>
  <si>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</si>
  <si>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</si>
  <si>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</si>
  <si>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</si>
  <si>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</si>
  <si>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</si>
  <si>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</si>
  <si>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</si>
  <si>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</si>
  <si>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</si>
  <si>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</si>
  <si>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</si>
  <si>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</si>
  <si>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</si>
  <si>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</si>
  <si>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</si>
  <si>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</si>
  <si>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</si>
  <si>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</si>
  <si>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</si>
  <si>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</si>
  <si>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</si>
  <si>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</si>
  <si>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</si>
  <si>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</si>
  <si>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</si>
  <si>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</si>
  <si>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</si>
  <si>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</si>
  <si>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</si>
  <si>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</si>
  <si>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</si>
  <si>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</si>
  <si>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</si>
  <si>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</si>
  <si>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</si>
  <si>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</si>
  <si>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</si>
  <si>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</si>
  <si>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</si>
  <si>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</si>
  <si>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</si>
  <si>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</si>
  <si>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</si>
  <si>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</si>
  <si>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</si>
  <si>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</si>
  <si>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</si>
  <si>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</si>
  <si>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</si>
  <si>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</si>
  <si>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</si>
  <si>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</si>
  <si>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</si>
  <si>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</si>
  <si>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</si>
  <si>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</si>
  <si>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</si>
  <si>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</si>
  <si>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</si>
  <si>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</si>
  <si>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</si>
  <si>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</si>
  <si>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</si>
  <si>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</si>
  <si>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</si>
  <si>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</si>
  <si>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</si>
  <si>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</si>
  <si>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</si>
  <si>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</si>
  <si>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</si>
  <si>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</si>
  <si>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</si>
  <si>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</si>
  <si>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</si>
  <si>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</si>
  <si>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</si>
  <si>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</si>
  <si>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</si>
  <si>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</si>
  <si>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</si>
  <si>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</si>
  <si>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</si>
  <si>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</si>
  <si>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</si>
  <si>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</si>
  <si>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</si>
  <si>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</si>
  <si>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</si>
  <si>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</si>
  <si>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</si>
  <si>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</si>
  <si>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</si>
  <si>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</si>
  <si>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</si>
  <si>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</si>
  <si>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</si>
  <si>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</si>
  <si>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</si>
  <si>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</si>
  <si>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</si>
  <si>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</si>
  <si>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</si>
  <si>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</si>
  <si>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</si>
  <si>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</si>
  <si>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</si>
  <si>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</si>
  <si>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</si>
  <si>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</si>
  <si>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</si>
  <si>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</si>
  <si>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</si>
  <si>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</si>
  <si>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</si>
  <si>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</si>
  <si>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</si>
  <si>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</si>
  <si>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</si>
  <si>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</si>
  <si>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</si>
  <si>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</si>
  <si>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</si>
  <si>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</si>
  <si>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</si>
  <si>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</si>
  <si>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</si>
  <si>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</si>
  <si>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</si>
  <si>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</si>
  <si>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</si>
  <si>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</si>
  <si>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</si>
  <si>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</si>
  <si>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</si>
  <si>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</si>
  <si>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</si>
  <si>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</si>
  <si>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</si>
  <si>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</si>
  <si>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</si>
  <si>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</si>
  <si>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</si>
  <si>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</si>
  <si>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</si>
  <si>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</si>
  <si>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</si>
  <si>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</si>
  <si>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</si>
  <si>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</si>
  <si>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</si>
  <si>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</si>
  <si>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</si>
  <si>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</si>
  <si>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</si>
  <si>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</si>
  <si>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</si>
  <si>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</si>
  <si>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</si>
  <si>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</si>
  <si>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</si>
  <si>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</si>
  <si>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</si>
  <si>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</si>
  <si>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</si>
  <si>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</si>
  <si>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</si>
  <si>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</si>
  <si>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</si>
  <si>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</si>
  <si>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</si>
  <si>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</si>
  <si>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</si>
  <si>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</si>
  <si>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</si>
  <si>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</si>
  <si>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</si>
  <si>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</si>
  <si>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</si>
  <si>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</si>
  <si>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</si>
  <si>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</si>
  <si>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</si>
  <si>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</si>
  <si>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</si>
  <si>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</si>
  <si>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</si>
  <si>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</si>
  <si>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</si>
  <si>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</si>
  <si>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</si>
  <si>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</si>
  <si>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</si>
  <si>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</si>
  <si>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</si>
  <si>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</si>
  <si>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</si>
  <si>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</si>
  <si>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</si>
  <si>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</si>
  <si>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</si>
  <si>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</si>
  <si>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</si>
  <si>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</si>
  <si>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</si>
  <si>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</si>
  <si>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</si>
  <si>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</si>
  <si>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</si>
  <si>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</si>
  <si>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</si>
  <si>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</si>
  <si>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</si>
  <si>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</si>
  <si>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</si>
  <si>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</si>
  <si>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</si>
  <si>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</si>
  <si>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</si>
  <si>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</si>
  <si>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</si>
  <si>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</si>
  <si>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</si>
  <si>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</si>
  <si>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</si>
  <si>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</si>
  <si>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</si>
  <si>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</si>
  <si>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</si>
  <si>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</si>
  <si>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</si>
  <si>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</si>
  <si>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</si>
  <si>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</si>
  <si>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</si>
  <si>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</si>
  <si>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</si>
  <si>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</si>
  <si>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</si>
  <si>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</si>
  <si>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</si>
  <si>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</si>
  <si>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</si>
  <si>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</si>
  <si>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</si>
  <si>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</si>
  <si>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</si>
  <si>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</si>
  <si>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</si>
  <si>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</si>
  <si>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</si>
  <si>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</si>
  <si>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</si>
  <si>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</si>
  <si>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</si>
  <si>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</si>
  <si>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</si>
  <si>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</si>
  <si>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</si>
  <si>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</si>
  <si>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</si>
  <si>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</si>
  <si>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</si>
  <si>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</si>
  <si>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</si>
  <si>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</si>
  <si>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</si>
  <si>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</si>
  <si>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</si>
  <si>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</si>
  <si>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</si>
  <si>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</si>
  <si>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</si>
  <si>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</si>
  <si>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</si>
  <si>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</si>
  <si>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</si>
  <si>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</si>
  <si>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</si>
  <si>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</si>
  <si>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</si>
  <si>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</si>
  <si>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</si>
  <si>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</si>
  <si>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</si>
  <si>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</si>
  <si>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</si>
  <si>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</si>
  <si>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</si>
  <si>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</si>
  <si>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</si>
  <si>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</si>
  <si>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</si>
  <si>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</si>
  <si>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</si>
  <si>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</si>
  <si>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</si>
  <si>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</si>
  <si>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</si>
  <si>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</si>
  <si>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</si>
  <si>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</si>
  <si>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</si>
  <si>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</si>
  <si>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</si>
  <si>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</si>
  <si>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</si>
  <si>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</si>
  <si>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</si>
  <si>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</si>
  <si>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</si>
  <si>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</si>
  <si>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</si>
  <si>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</si>
  <si>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</si>
  <si>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</si>
  <si>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</si>
  <si>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</si>
  <si>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</si>
  <si>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</si>
  <si>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</si>
  <si>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</si>
  <si>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</si>
  <si>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</si>
  <si>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</si>
  <si>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</si>
  <si>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</si>
  <si>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</si>
  <si>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</si>
  <si>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</si>
  <si>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</si>
  <si>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</si>
  <si>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</si>
  <si>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</si>
  <si>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</si>
  <si>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</si>
  <si>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</si>
  <si>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</si>
  <si>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</si>
  <si>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</si>
  <si>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</si>
  <si>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</si>
  <si>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</si>
  <si>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</si>
  <si>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</si>
  <si>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</si>
  <si>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</si>
  <si>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</si>
  <si>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</si>
  <si>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</si>
  <si>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</si>
  <si>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</si>
  <si>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</si>
  <si>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</si>
  <si>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</si>
  <si>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</si>
  <si>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</si>
  <si>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</si>
  <si>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</si>
  <si>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</si>
  <si>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</si>
  <si>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</si>
  <si>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</si>
  <si>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</si>
  <si>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</si>
  <si>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</si>
  <si>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</si>
  <si>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</si>
  <si>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</si>
  <si>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</si>
  <si>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</si>
  <si>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</si>
  <si>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</si>
  <si>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</si>
  <si>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</si>
  <si>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</si>
  <si>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</si>
  <si>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</si>
  <si>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</si>
  <si>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</si>
  <si>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</si>
  <si>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</si>
  <si>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</si>
  <si>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</si>
  <si>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</si>
  <si>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</si>
  <si>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</si>
  <si>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</si>
  <si>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</si>
  <si>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</si>
  <si>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</si>
  <si>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</si>
  <si>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</si>
  <si>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</si>
  <si>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</si>
  <si>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</si>
  <si>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</si>
  <si>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</si>
  <si>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</si>
  <si>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</si>
  <si>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</si>
  <si>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</si>
  <si>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</si>
  <si>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</si>
  <si>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</si>
  <si>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</si>
  <si>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</si>
  <si>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</si>
  <si>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</si>
  <si>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</si>
  <si>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</si>
  <si>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</si>
  <si>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</si>
  <si>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</si>
  <si>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</si>
  <si>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</si>
  <si>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</si>
  <si>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</si>
  <si>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</si>
  <si>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</si>
  <si>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</si>
  <si>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</si>
  <si>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</si>
  <si>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</si>
  <si>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</si>
  <si>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</si>
  <si>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</si>
  <si>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</si>
  <si>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</si>
  <si>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</si>
  <si>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</si>
  <si>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</si>
  <si>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</si>
  <si>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</si>
  <si>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</si>
  <si>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</si>
  <si>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</si>
  <si>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</si>
  <si>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</si>
  <si>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</si>
  <si>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</si>
  <si>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</si>
  <si>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</si>
  <si>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</si>
  <si>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</si>
  <si>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</si>
  <si>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</si>
  <si>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</si>
  <si>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</si>
  <si>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</si>
  <si>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</si>
  <si>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</si>
  <si>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</si>
  <si>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</si>
  <si>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</si>
  <si>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</si>
  <si>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</si>
  <si>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</si>
  <si>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</si>
  <si>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</si>
  <si>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</si>
  <si>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</si>
  <si>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</si>
  <si>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</si>
  <si>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</si>
  <si>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</si>
  <si>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</si>
  <si>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</si>
  <si>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</si>
  <si>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</si>
  <si>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</si>
  <si>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</si>
  <si>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</si>
  <si>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</si>
  <si>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</si>
  <si>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</si>
  <si>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</si>
  <si>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</si>
  <si>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</si>
  <si>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</si>
  <si>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</si>
  <si>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</si>
  <si>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</si>
  <si>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</si>
  <si>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</si>
  <si>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</si>
  <si>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</si>
  <si>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</si>
  <si>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</si>
  <si>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</si>
  <si>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</si>
  <si>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</si>
  <si>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</si>
  <si>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</si>
  <si>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</si>
  <si>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</si>
  <si>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</si>
  <si>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</si>
  <si>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</si>
  <si>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</si>
  <si>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</si>
  <si>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</si>
  <si>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</si>
  <si>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</si>
  <si>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</si>
  <si>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</si>
  <si>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</si>
  <si>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</si>
  <si>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</si>
  <si>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</si>
  <si>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</si>
  <si>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</si>
  <si>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</si>
  <si>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</si>
  <si>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</si>
  <si>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</si>
  <si>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</si>
  <si>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</si>
  <si>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</si>
  <si>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</si>
  <si>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</si>
  <si>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</si>
  <si>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</si>
  <si>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</si>
  <si>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</si>
  <si>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</si>
  <si>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</si>
  <si>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</si>
  <si>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</si>
  <si>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</si>
  <si>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</si>
  <si>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</si>
  <si>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</si>
  <si>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</si>
  <si>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</si>
  <si>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</si>
  <si>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</si>
  <si>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</si>
  <si>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</si>
  <si>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</si>
  <si>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</si>
  <si>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</si>
  <si>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</si>
  <si>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</si>
  <si>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</si>
  <si>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</si>
  <si>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</si>
  <si>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</si>
  <si>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</si>
  <si>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</si>
  <si>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</si>
  <si>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</si>
  <si>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</si>
  <si>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</si>
  <si>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</si>
  <si>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</si>
  <si>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</si>
  <si>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</si>
  <si>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</si>
  <si>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</si>
  <si>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</si>
  <si>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</si>
  <si>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</si>
  <si>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</si>
  <si>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</si>
  <si>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</si>
  <si>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</si>
  <si>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</si>
  <si>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</si>
  <si>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</si>
  <si>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</si>
  <si>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</si>
  <si>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</si>
  <si>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</si>
  <si>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</si>
  <si>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</si>
  <si>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</si>
  <si>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</si>
  <si>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</si>
  <si>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</si>
  <si>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</si>
  <si>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</si>
  <si>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</si>
  <si>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</si>
  <si>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</si>
  <si>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</si>
  <si>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</si>
  <si>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</si>
  <si>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</si>
  <si>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</si>
  <si>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</si>
  <si>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</si>
  <si>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</si>
  <si>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</si>
  <si>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</si>
  <si>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</si>
  <si>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</si>
  <si>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</si>
  <si>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</si>
  <si>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</si>
  <si>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</si>
  <si>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</si>
  <si>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</si>
  <si>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</si>
  <si>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</si>
  <si>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</si>
  <si>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</si>
  <si>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</si>
  <si>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</si>
  <si>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</si>
  <si>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</si>
  <si>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</si>
  <si>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</si>
  <si>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</si>
  <si>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</si>
  <si>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</si>
  <si>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</si>
  <si>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</si>
  <si>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</si>
  <si>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</si>
  <si>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</si>
  <si>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</si>
  <si>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</si>
  <si>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</si>
  <si>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</si>
  <si>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</si>
  <si>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</si>
  <si>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</si>
  <si>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</si>
  <si>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</si>
  <si>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</si>
  <si>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</si>
  <si>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</si>
  <si>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</si>
  <si>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</si>
  <si>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</si>
  <si>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</si>
  <si>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</si>
  <si>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</si>
  <si>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</si>
  <si>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</si>
  <si>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</si>
  <si>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</si>
  <si>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</si>
  <si>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</si>
  <si>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</si>
  <si>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</si>
  <si>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</si>
  <si>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</si>
  <si>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</si>
  <si>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</si>
  <si>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</si>
  <si>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</si>
  <si>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</si>
  <si>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</si>
  <si>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</si>
  <si>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</si>
  <si>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</si>
  <si>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</si>
  <si>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</si>
  <si>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</si>
  <si>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</si>
  <si>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</si>
  <si>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</si>
  <si>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</si>
  <si>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</si>
  <si>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</si>
  <si>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</si>
  <si>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</si>
  <si>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</si>
  <si>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</si>
  <si>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</si>
  <si>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</si>
  <si>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</si>
  <si>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</si>
  <si>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</si>
  <si>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</si>
  <si>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</si>
  <si>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</si>
  <si>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</si>
  <si>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</si>
  <si>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</si>
  <si>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</si>
  <si>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</si>
  <si>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</si>
  <si>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</si>
  <si>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</si>
  <si>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</si>
  <si>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</si>
  <si>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</si>
  <si>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</si>
  <si>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</si>
  <si>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</si>
  <si>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</si>
  <si>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</si>
  <si>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</si>
  <si>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</si>
  <si>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</si>
  <si>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</si>
  <si>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</si>
  <si>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</si>
  <si>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</si>
  <si>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</si>
  <si>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</si>
  <si>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</si>
  <si>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</si>
  <si>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</si>
  <si>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</si>
  <si>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</si>
  <si>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</si>
  <si>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</si>
  <si>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</si>
  <si>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</si>
  <si>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</si>
  <si>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</si>
  <si>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</si>
  <si>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</si>
  <si>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</si>
  <si>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</si>
  <si>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</si>
  <si>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</si>
  <si>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</si>
  <si>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</si>
  <si>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</si>
  <si>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</si>
  <si>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</si>
  <si>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</si>
  <si>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</si>
  <si>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</si>
  <si>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</si>
  <si>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</si>
  <si>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</si>
  <si>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</si>
  <si>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</si>
  <si>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</si>
  <si>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</si>
  <si>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</si>
  <si>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</si>
  <si>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</si>
  <si>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</si>
  <si>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</si>
  <si>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</si>
  <si>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</si>
  <si>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</si>
  <si>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</si>
  <si>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</si>
  <si>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</si>
  <si>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</si>
  <si>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</si>
  <si>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</si>
  <si>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</si>
  <si>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</si>
  <si>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</si>
  <si>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</si>
  <si>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</si>
  <si>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</si>
  <si>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</si>
  <si>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</si>
  <si>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</si>
  <si>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</si>
  <si>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</si>
  <si>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</si>
  <si>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</si>
  <si>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</si>
  <si>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</si>
  <si>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</si>
  <si>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</si>
  <si>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</si>
  <si>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</si>
  <si>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</si>
  <si>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</si>
  <si>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</si>
  <si>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</si>
  <si>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</si>
  <si>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</si>
  <si>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</si>
  <si>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</si>
  <si>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</si>
  <si>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</si>
  <si>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</si>
  <si>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</si>
  <si>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</si>
  <si>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</si>
  <si>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</si>
  <si>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</si>
  <si>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</si>
  <si>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</si>
  <si>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</si>
  <si>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</si>
  <si>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</si>
  <si>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</si>
  <si>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</si>
  <si>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</si>
  <si>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</si>
  <si>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</si>
  <si>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</si>
  <si>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</si>
  <si>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</si>
  <si>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</si>
  <si>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</si>
  <si>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</si>
  <si>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</si>
  <si>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</si>
  <si>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</si>
  <si>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</si>
  <si>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</si>
  <si>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</si>
  <si>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</si>
  <si>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</si>
  <si>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</si>
  <si>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</si>
  <si>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</si>
  <si>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</si>
  <si>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</si>
  <si>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</si>
  <si>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</si>
  <si>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</si>
  <si>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</si>
  <si>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</si>
  <si>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</si>
  <si>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</si>
  <si>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</si>
  <si>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</si>
  <si>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</si>
  <si>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</si>
  <si>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</si>
  <si>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</si>
  <si>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</si>
  <si>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</si>
  <si>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</si>
  <si>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</si>
  <si>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</si>
  <si>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</si>
  <si>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</si>
  <si>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</si>
  <si>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</si>
  <si>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</si>
  <si>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</si>
  <si>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</si>
  <si>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</si>
  <si>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</si>
  <si>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</si>
  <si>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</si>
  <si>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</si>
  <si>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</si>
  <si>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</si>
  <si>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</si>
  <si>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</si>
  <si>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</si>
  <si>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</si>
  <si>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</si>
  <si>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</si>
  <si>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</si>
  <si>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</si>
  <si>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</si>
  <si>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</si>
  <si>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</si>
  <si>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</si>
  <si>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</si>
  <si>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</si>
  <si>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</si>
  <si>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</si>
  <si>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</si>
  <si>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</si>
  <si>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</si>
  <si>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</si>
  <si>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</si>
  <si>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</si>
  <si>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</si>
  <si>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</si>
  <si>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</si>
  <si>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</si>
  <si>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</si>
  <si>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</si>
  <si>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</si>
  <si>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</si>
  <si>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</si>
  <si>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</si>
  <si>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</si>
  <si>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</si>
  <si>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</si>
  <si>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</si>
  <si>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</si>
  <si>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</si>
  <si>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</si>
  <si>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</si>
  <si>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</si>
  <si>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</si>
  <si>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</si>
  <si>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</si>
  <si>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</si>
  <si>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</si>
  <si>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</si>
  <si>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</si>
  <si>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</si>
  <si>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</si>
  <si>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</si>
  <si>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</si>
  <si>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</si>
  <si>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</si>
  <si>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</si>
  <si>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</si>
  <si>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</si>
  <si>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</si>
  <si>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</si>
  <si>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</si>
  <si>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</si>
  <si>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</si>
  <si>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</si>
  <si>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</si>
  <si>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</si>
  <si>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</si>
  <si>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</si>
  <si>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</si>
  <si>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</si>
  <si>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</si>
  <si>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</si>
  <si>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</si>
  <si>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</si>
  <si>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</si>
  <si>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</si>
  <si>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</si>
  <si>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</si>
  <si>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</si>
  <si>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</si>
  <si>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</si>
  <si>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</si>
  <si>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</si>
  <si>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</si>
  <si>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</si>
  <si>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</si>
  <si>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</si>
  <si>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</si>
  <si>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</si>
  <si>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</si>
  <si>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</si>
  <si>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</si>
  <si>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</si>
  <si>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</si>
  <si>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</si>
  <si>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</si>
  <si>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</si>
  <si>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</si>
  <si>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</si>
  <si>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</si>
  <si>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</si>
  <si>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</si>
  <si>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</si>
  <si>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</si>
  <si>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</si>
  <si>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</si>
  <si>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</si>
  <si>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</si>
  <si>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</si>
  <si>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</si>
  <si>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</si>
  <si>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</si>
  <si>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</si>
  <si>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</si>
  <si>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</si>
  <si>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</si>
  <si>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</si>
  <si>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</si>
  <si>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</si>
  <si>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</si>
  <si>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</si>
  <si>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</si>
  <si>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</si>
  <si>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</si>
  <si>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</si>
  <si>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</si>
  <si>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</si>
  <si>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</si>
  <si>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</si>
  <si>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</si>
  <si>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</si>
  <si>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</si>
  <si>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</si>
  <si>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</si>
  <si>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</si>
  <si>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</si>
  <si>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</si>
  <si>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</si>
  <si>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</si>
  <si>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</si>
  <si>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</si>
  <si>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</si>
  <si>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</si>
  <si>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</si>
  <si>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</si>
  <si>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</si>
  <si>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</si>
  <si>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</si>
  <si>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</si>
  <si>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</si>
  <si>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</si>
  <si>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</si>
  <si>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</si>
  <si>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</si>
  <si>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</si>
  <si>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</si>
  <si>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</si>
  <si>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</si>
  <si>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</si>
  <si>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</si>
  <si>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</si>
  <si>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</si>
  <si>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</si>
  <si>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</si>
  <si>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</si>
  <si>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</si>
  <si>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</si>
  <si>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</si>
  <si>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</si>
  <si>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</si>
  <si>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</si>
  <si>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</si>
  <si>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</si>
  <si>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</si>
  <si>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</si>
  <si>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</si>
  <si>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</si>
  <si>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</si>
  <si>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</si>
  <si>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</si>
  <si>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</si>
  <si>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</si>
  <si>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</si>
  <si>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</si>
  <si>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</si>
  <si>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</si>
  <si>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</si>
  <si>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</si>
  <si>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</si>
  <si>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</si>
  <si>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</si>
  <si>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</si>
  <si>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</si>
  <si>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</si>
  <si>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</si>
  <si>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</si>
  <si>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</si>
  <si>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</si>
  <si>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</si>
  <si>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</si>
  <si>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</si>
  <si>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</si>
  <si>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</si>
  <si>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</si>
  <si>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</si>
  <si>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</si>
  <si>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</si>
  <si>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</si>
  <si>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</si>
  <si>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</si>
  <si>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</si>
  <si>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</si>
  <si>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</si>
  <si>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</si>
  <si>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</si>
  <si>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</si>
  <si>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</si>
  <si>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</si>
  <si>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</si>
  <si>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</si>
  <si>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</si>
  <si>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</si>
  <si>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</si>
  <si>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</si>
  <si>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</si>
  <si>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</si>
  <si>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</si>
  <si>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</si>
  <si>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</si>
  <si>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</si>
  <si>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</si>
  <si>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</si>
  <si>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</si>
  <si>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</si>
  <si>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</si>
  <si>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</si>
  <si>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</si>
  <si>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</si>
  <si>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</si>
  <si>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</si>
  <si>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</si>
  <si>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</si>
  <si>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</si>
  <si>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</si>
  <si>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</si>
  <si>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</si>
  <si>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</si>
  <si>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</si>
  <si>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</si>
  <si>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</si>
  <si>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</si>
  <si>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</si>
  <si>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</si>
  <si>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</si>
  <si>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</si>
  <si>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</si>
  <si>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</si>
  <si>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</si>
  <si>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</si>
  <si>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</si>
  <si>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</si>
  <si>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</si>
  <si>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</si>
  <si>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</si>
  <si>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</si>
  <si>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</si>
  <si>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</si>
  <si>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</si>
  <si>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</si>
  <si>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</si>
  <si>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</si>
  <si>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</si>
  <si>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</si>
  <si>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</si>
  <si>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</si>
  <si>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</si>
  <si>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</si>
  <si>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</si>
  <si>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</si>
  <si>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</si>
  <si>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</si>
  <si>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</si>
  <si>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</si>
  <si>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</si>
  <si>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</si>
  <si>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</si>
  <si>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</si>
  <si>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</si>
  <si>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</si>
  <si>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</si>
  <si>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</si>
  <si>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</si>
  <si>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</si>
  <si>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</si>
  <si>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</si>
  <si>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</si>
  <si>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</si>
  <si>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</si>
  <si>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</si>
  <si>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</si>
  <si>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</si>
  <si>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</si>
  <si>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</si>
  <si>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</si>
  <si>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</si>
  <si>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</si>
  <si>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</si>
  <si>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</si>
  <si>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</si>
  <si>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</si>
  <si>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</si>
  <si>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</si>
  <si>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</si>
  <si>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</si>
  <si>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</si>
  <si>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</si>
  <si>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</si>
  <si>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</si>
  <si>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</si>
  <si>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</si>
  <si>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</si>
  <si>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</si>
  <si>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</si>
  <si>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</si>
  <si>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</si>
  <si>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</si>
  <si>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</si>
  <si>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</si>
  <si>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</si>
  <si>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</si>
  <si>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</si>
  <si>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</si>
  <si>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</si>
  <si>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</si>
  <si>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</si>
  <si>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</si>
  <si>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</si>
  <si>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</si>
  <si>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</si>
  <si>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</si>
  <si>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</si>
  <si>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</si>
  <si>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</si>
  <si>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</si>
  <si>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</si>
  <si>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</si>
  <si>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</si>
  <si>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</si>
  <si>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</si>
  <si>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</si>
  <si>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</si>
  <si>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</si>
  <si>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</si>
  <si>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</si>
  <si>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</si>
  <si>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</si>
  <si>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</si>
  <si>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</si>
  <si>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</si>
  <si>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</si>
  <si>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</si>
  <si>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</si>
  <si>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</si>
  <si>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</si>
  <si>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</si>
  <si>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</si>
  <si>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</si>
  <si>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</si>
  <si>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</si>
  <si>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</si>
  <si>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</si>
  <si>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</si>
  <si>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</si>
  <si>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</si>
  <si>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</si>
  <si>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</si>
  <si>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</si>
  <si>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</si>
  <si>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</si>
  <si>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</si>
  <si>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</si>
  <si>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</si>
  <si>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</si>
  <si>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</si>
  <si>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</si>
  <si>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</si>
  <si>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</si>
  <si>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</si>
  <si>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</si>
  <si>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</si>
  <si>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</si>
  <si>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</si>
  <si>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</si>
  <si>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</si>
  <si>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</si>
  <si>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</si>
  <si>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</si>
  <si>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</si>
  <si>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</si>
  <si>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</si>
  <si>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</si>
  <si>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</si>
  <si>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</si>
  <si>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</si>
  <si>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</si>
  <si>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</si>
  <si>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</si>
  <si>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</si>
  <si>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</si>
  <si>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</si>
  <si>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</si>
  <si>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</si>
  <si>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</si>
  <si>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</si>
  <si>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</si>
  <si>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</si>
  <si>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</si>
  <si>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</si>
  <si>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</si>
  <si>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</si>
  <si>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</si>
  <si>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</si>
  <si>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</si>
  <si>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</si>
  <si>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</si>
  <si>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</si>
  <si>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</si>
  <si>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</si>
  <si>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</si>
  <si>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</si>
  <si>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</si>
  <si>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</si>
  <si>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</si>
  <si>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</si>
  <si>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</si>
  <si>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</si>
  <si>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</si>
  <si>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</si>
  <si>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</si>
  <si>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</si>
  <si>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</si>
  <si>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</si>
  <si>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</si>
  <si>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</si>
  <si>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</si>
  <si>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</si>
  <si>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</si>
  <si>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</si>
  <si>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</si>
  <si>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</si>
  <si>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</si>
  <si>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</si>
  <si>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</si>
  <si>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</si>
  <si>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</si>
  <si>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</si>
  <si>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</si>
  <si>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</si>
  <si>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</si>
  <si>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</si>
  <si>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</si>
  <si>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</si>
  <si>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</si>
  <si>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</si>
  <si>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</si>
  <si>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</si>
  <si>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</si>
  <si>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</si>
  <si>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</si>
  <si>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</si>
  <si>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</si>
  <si>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</si>
  <si>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</si>
  <si>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</si>
  <si>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</si>
  <si>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</si>
  <si>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</si>
  <si>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</si>
  <si>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</si>
  <si>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</si>
  <si>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</si>
  <si>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</si>
  <si>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</si>
  <si>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</si>
  <si>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</si>
  <si>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</si>
  <si>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</si>
  <si>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</si>
  <si>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</si>
  <si>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</si>
  <si>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</si>
  <si>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</si>
  <si>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</si>
  <si>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</si>
  <si>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</si>
  <si>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</si>
  <si>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</si>
  <si>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</si>
  <si>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</si>
  <si>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</si>
  <si>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</si>
  <si>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</si>
  <si>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</si>
  <si>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</si>
  <si>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</si>
  <si>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</si>
  <si>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</si>
  <si>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</si>
  <si>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</si>
  <si>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</si>
  <si>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</si>
  <si>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</si>
  <si>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</si>
  <si>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</si>
  <si>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</si>
  <si>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</si>
  <si>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</si>
  <si>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</si>
  <si>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</si>
  <si>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</si>
  <si>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</si>
  <si>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</si>
  <si>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</si>
  <si>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</si>
  <si>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</si>
  <si>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</si>
  <si>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</si>
  <si>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</si>
  <si>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</si>
  <si>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</si>
  <si>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</si>
  <si>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</si>
  <si>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</si>
  <si>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</si>
  <si>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</si>
  <si>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</si>
  <si>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</si>
  <si>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</si>
  <si>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</si>
  <si>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</si>
  <si>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</si>
  <si>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</si>
  <si>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</si>
  <si>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</si>
  <si>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</si>
  <si>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</si>
  <si>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</si>
  <si>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</si>
  <si>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</si>
  <si>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</si>
  <si>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</si>
  <si>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</si>
  <si>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</si>
  <si>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</si>
  <si>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</si>
  <si>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</si>
  <si>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</si>
  <si>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</si>
  <si>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</si>
  <si>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</si>
  <si>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</si>
  <si>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</si>
  <si>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</si>
  <si>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</si>
  <si>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</si>
  <si>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</si>
  <si>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</si>
  <si>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</si>
  <si>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</si>
  <si>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</si>
  <si>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</si>
  <si>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</si>
  <si>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</si>
  <si>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</si>
  <si>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</si>
  <si>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</si>
  <si>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</si>
  <si>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</si>
  <si>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</si>
  <si>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</si>
  <si>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</si>
  <si>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</si>
  <si>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</si>
  <si>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</si>
  <si>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</si>
  <si>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</si>
  <si>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</si>
  <si>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</si>
  <si>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</si>
  <si>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</si>
  <si>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</si>
  <si>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</si>
  <si>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</si>
  <si>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</si>
  <si>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</si>
  <si>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</si>
  <si>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</si>
  <si>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</si>
  <si>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</si>
  <si>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</si>
  <si>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</si>
  <si>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</si>
  <si>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</si>
  <si>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</si>
  <si>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</si>
  <si>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</si>
  <si>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</si>
  <si>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</si>
  <si>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</si>
  <si>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</si>
  <si>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</si>
  <si>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</si>
  <si>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</si>
  <si>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</si>
  <si>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</si>
  <si>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</si>
  <si>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</si>
  <si>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</si>
  <si>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</si>
  <si>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</si>
  <si>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</si>
  <si>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</si>
  <si>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</si>
  <si>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</si>
  <si>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</si>
  <si>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</si>
  <si>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</si>
  <si>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</si>
  <si>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</si>
  <si>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</si>
  <si>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</si>
  <si>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</si>
  <si>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</si>
  <si>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</si>
  <si>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</si>
  <si>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</si>
  <si>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</si>
  <si>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</si>
  <si>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</si>
  <si>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</si>
  <si>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</si>
  <si>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</si>
  <si>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</si>
  <si>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</si>
  <si>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</si>
  <si>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</si>
  <si>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</si>
  <si>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</si>
  <si>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</si>
  <si>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</si>
  <si>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</si>
  <si>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</si>
  <si>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</si>
  <si>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</si>
  <si>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</si>
  <si>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</si>
  <si>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</si>
  <si>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</si>
  <si>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</si>
  <si>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</si>
  <si>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</si>
  <si>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</si>
  <si>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</si>
  <si>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</si>
  <si>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</si>
  <si>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</si>
  <si>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</si>
  <si>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</si>
  <si>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</si>
  <si>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</si>
  <si>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</si>
  <si>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</si>
  <si>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</si>
  <si>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</si>
  <si>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</si>
  <si>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</si>
  <si>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</si>
  <si>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</si>
  <si>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</si>
  <si>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</si>
  <si>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</si>
  <si>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</si>
  <si>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</si>
  <si>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</si>
  <si>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</si>
  <si>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</si>
  <si>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</si>
  <si>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</si>
  <si>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</si>
  <si>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</si>
  <si>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</si>
  <si>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</si>
  <si>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</si>
  <si>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</si>
  <si>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</si>
  <si>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</si>
  <si>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</si>
  <si>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</si>
  <si>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</si>
  <si>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</si>
  <si>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</si>
  <si>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</si>
  <si>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</si>
  <si>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</si>
  <si>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</si>
  <si>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</si>
  <si>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</si>
  <si>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</si>
  <si>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</si>
  <si>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</si>
  <si>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</si>
  <si>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</si>
  <si>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</si>
  <si>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</si>
  <si>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</si>
  <si>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</si>
  <si>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</si>
  <si>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</si>
  <si>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</si>
  <si>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</si>
  <si>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</si>
  <si>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</si>
  <si>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</si>
  <si>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</si>
  <si>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</si>
  <si>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</si>
  <si>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</si>
  <si>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</si>
  <si>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</si>
  <si>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</si>
  <si>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</si>
  <si>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</si>
  <si>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</si>
  <si>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</si>
  <si>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</si>
  <si>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</si>
  <si>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</si>
  <si>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</si>
  <si>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</si>
  <si>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</si>
  <si>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</si>
  <si>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</si>
  <si>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</si>
  <si>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</si>
  <si>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</si>
  <si>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</si>
  <si>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</si>
  <si>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</si>
  <si>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</si>
  <si>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</si>
  <si>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</si>
  <si>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</si>
  <si>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</si>
  <si>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</si>
  <si>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</si>
  <si>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</si>
  <si>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</si>
  <si>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</si>
  <si>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</si>
  <si>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</si>
  <si>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</si>
  <si>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</si>
  <si>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</si>
  <si>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</si>
  <si>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</si>
  <si>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</si>
  <si>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</si>
  <si>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</si>
  <si>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</si>
  <si>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</si>
  <si>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</si>
  <si>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</si>
  <si>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</si>
  <si>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</si>
  <si>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</si>
  <si>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</si>
  <si>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</si>
  <si>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</si>
  <si>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</si>
  <si>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</si>
  <si>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</si>
  <si>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</si>
  <si>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</si>
  <si>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</si>
  <si>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</si>
  <si>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</si>
  <si>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</si>
  <si>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</si>
  <si>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</si>
  <si>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</si>
  <si>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</si>
  <si>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</si>
  <si>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</si>
  <si>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</si>
  <si>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</si>
  <si>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</si>
  <si>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</si>
  <si>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</si>
  <si>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</si>
  <si>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</si>
  <si>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</si>
  <si>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</si>
  <si>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</si>
  <si>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</si>
  <si>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</si>
  <si>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</si>
  <si>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</si>
  <si>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</si>
  <si>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</si>
  <si>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</si>
  <si>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</si>
  <si>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</si>
  <si>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</si>
  <si>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</si>
  <si>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</si>
  <si>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</si>
  <si>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</si>
  <si>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</si>
  <si>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</si>
  <si>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</si>
  <si>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</si>
  <si>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</si>
  <si>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</si>
  <si>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</si>
  <si>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</si>
  <si>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</si>
  <si>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</si>
  <si>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</si>
  <si>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</si>
  <si>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</si>
  <si>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</si>
  <si>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</si>
  <si>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</si>
  <si>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</si>
  <si>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</si>
  <si>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</si>
  <si>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</si>
  <si>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</si>
  <si>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</si>
  <si>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</si>
  <si>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</si>
  <si>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</si>
  <si>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</si>
  <si>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</si>
  <si>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</si>
  <si>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</si>
  <si>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</si>
  <si>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</si>
  <si>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</si>
  <si>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</si>
  <si>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</si>
  <si>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</si>
  <si>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</si>
  <si>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</si>
  <si>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</si>
  <si>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</si>
  <si>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</si>
  <si>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</si>
  <si>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</si>
  <si>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</si>
  <si>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</si>
  <si>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</si>
  <si>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</si>
  <si>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</si>
  <si>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</si>
  <si>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</si>
  <si>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</si>
  <si>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</si>
  <si>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</si>
  <si>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</si>
  <si>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</si>
  <si>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</si>
  <si>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</si>
  <si>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</si>
  <si>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</si>
  <si>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</si>
  <si>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</si>
  <si>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</si>
  <si>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</si>
  <si>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</si>
  <si>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</si>
  <si>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</si>
  <si>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</si>
  <si>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</si>
  <si>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</si>
  <si>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</si>
  <si>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</si>
  <si>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</si>
  <si>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</si>
  <si>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</si>
  <si>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</si>
  <si>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</si>
  <si>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</si>
  <si>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</si>
  <si>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</si>
  <si>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</si>
  <si>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</si>
  <si>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</si>
  <si>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</si>
  <si>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</si>
  <si>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</si>
  <si>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</si>
  <si>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</si>
  <si>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</si>
  <si>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</si>
  <si>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</si>
  <si>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</si>
  <si>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</si>
  <si>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</si>
  <si>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</si>
  <si>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</si>
  <si>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</si>
  <si>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</si>
  <si>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</si>
  <si>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</si>
  <si>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</si>
  <si>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</si>
  <si>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</si>
  <si>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</si>
  <si>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</si>
  <si>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</si>
  <si>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</si>
  <si>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</si>
  <si>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</si>
  <si>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</si>
  <si>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</si>
  <si>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</si>
  <si>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</si>
  <si>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</si>
  <si>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</si>
  <si>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</si>
  <si>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</si>
  <si>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</si>
  <si>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</si>
  <si>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</si>
  <si>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</si>
  <si>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</si>
  <si>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</si>
  <si>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</si>
  <si>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</si>
  <si>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</si>
  <si>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</si>
  <si>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</si>
  <si>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</si>
  <si>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</si>
  <si>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</si>
  <si>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</si>
  <si>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</si>
  <si>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</si>
  <si>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</si>
  <si>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</si>
  <si>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</si>
  <si>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</si>
  <si>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</si>
  <si>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</si>
  <si>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</si>
  <si>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</si>
  <si>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</si>
  <si>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</si>
  <si>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</si>
  <si>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</si>
  <si>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</si>
  <si>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</si>
  <si>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</si>
  <si>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</si>
  <si>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</si>
  <si>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</si>
  <si>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</si>
  <si>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</si>
  <si>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</si>
  <si>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</si>
  <si>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</si>
  <si>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</si>
  <si>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</si>
  <si>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</si>
  <si>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</si>
  <si>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</si>
  <si>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</si>
  <si>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</si>
  <si>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</si>
  <si>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</si>
  <si>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</si>
  <si>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</si>
  <si>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</si>
  <si>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</si>
  <si>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</si>
  <si>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</si>
  <si>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</si>
  <si>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</si>
  <si>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</si>
  <si>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</si>
  <si>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</si>
  <si>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</si>
  <si>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</si>
  <si>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</si>
  <si>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</si>
  <si>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</si>
  <si>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</si>
  <si>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</si>
  <si>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</si>
  <si>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</si>
  <si>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</si>
  <si>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</si>
  <si>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</si>
  <si>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</si>
  <si>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</si>
  <si>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</si>
  <si>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</si>
  <si>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</si>
  <si>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</si>
  <si>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</si>
  <si>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</si>
  <si>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</si>
  <si>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</si>
  <si>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</si>
  <si>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</si>
  <si>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</si>
  <si>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</si>
  <si>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</si>
  <si>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</si>
  <si>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</si>
  <si>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</si>
  <si>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</si>
  <si>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</si>
  <si>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</si>
  <si>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</si>
  <si>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</si>
  <si>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</si>
  <si>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</si>
  <si>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</si>
  <si>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</si>
  <si>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</si>
  <si>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</si>
  <si>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</si>
  <si>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</si>
  <si>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</si>
  <si>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</si>
  <si>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</si>
  <si>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</si>
  <si>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</si>
  <si>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</si>
  <si>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</si>
  <si>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</si>
  <si>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</si>
  <si>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</si>
  <si>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</si>
  <si>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</si>
  <si>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</si>
  <si>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</si>
  <si>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</si>
  <si>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</si>
  <si>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</si>
  <si>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</si>
  <si>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</si>
  <si>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</si>
  <si>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</si>
  <si>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</si>
  <si>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</si>
  <si>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</si>
  <si>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</si>
  <si>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</si>
  <si>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</si>
  <si>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</si>
  <si>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</si>
  <si>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</si>
  <si>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</si>
  <si>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</si>
  <si>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</si>
  <si>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</si>
  <si>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</si>
  <si>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</si>
  <si>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</si>
  <si>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</si>
  <si>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</si>
  <si>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</si>
  <si>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</si>
  <si>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</si>
  <si>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</si>
  <si>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</si>
  <si>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</si>
  <si>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</si>
  <si>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</si>
  <si>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</si>
  <si>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</si>
  <si>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</si>
  <si>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</si>
  <si>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</si>
  <si>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</si>
  <si>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</si>
  <si>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</si>
  <si>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</si>
  <si>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</si>
  <si>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</si>
  <si>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</si>
  <si>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</si>
  <si>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</si>
  <si>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</si>
  <si>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</si>
  <si>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</si>
  <si>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</si>
  <si>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</si>
  <si>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</si>
  <si>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</si>
  <si>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</si>
  <si>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</si>
  <si>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</si>
  <si>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</si>
  <si>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</si>
  <si>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</si>
  <si>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</si>
  <si>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</si>
  <si>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</si>
  <si>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</si>
  <si>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</si>
  <si>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</si>
  <si>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</si>
  <si>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</si>
  <si>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</si>
  <si>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</si>
  <si>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</si>
  <si>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</si>
  <si>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</si>
  <si>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</si>
  <si>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</si>
  <si>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</si>
  <si>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</si>
  <si>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</si>
  <si>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</si>
  <si>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</si>
  <si>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</si>
  <si>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</si>
  <si>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</si>
  <si>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</si>
  <si>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</si>
  <si>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</si>
  <si>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</si>
  <si>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</si>
  <si>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</si>
  <si>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</si>
  <si>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</si>
  <si>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</si>
  <si>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</si>
  <si>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</si>
  <si>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</si>
  <si>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</si>
  <si>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</si>
  <si>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</si>
  <si>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</si>
  <si>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</si>
  <si>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</si>
  <si>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</si>
  <si>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</si>
  <si>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</si>
  <si>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</si>
  <si>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</si>
  <si>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</si>
  <si>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</si>
  <si>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</si>
  <si>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</si>
  <si>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</si>
  <si>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</si>
  <si>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</si>
  <si>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</si>
  <si>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</si>
  <si>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</si>
  <si>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</si>
  <si>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</si>
  <si>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</si>
  <si>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</si>
  <si>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</si>
  <si>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</si>
  <si>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</si>
  <si>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</si>
  <si>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</si>
  <si>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</si>
  <si>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</si>
  <si>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</si>
  <si>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</si>
  <si>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</si>
  <si>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</si>
  <si>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</si>
  <si>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</si>
  <si>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</si>
  <si>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</si>
  <si>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</si>
  <si>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</si>
  <si>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</si>
  <si>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</si>
  <si>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</si>
  <si>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</si>
  <si>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</si>
  <si>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</si>
  <si>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</si>
  <si>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</si>
  <si>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</si>
  <si>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</si>
  <si>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</si>
  <si>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</si>
  <si>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</si>
  <si>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</si>
  <si>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</si>
  <si>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</si>
  <si>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</si>
  <si>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</si>
  <si>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</si>
  <si>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</si>
  <si>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</si>
  <si>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</si>
  <si>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</si>
  <si>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</si>
  <si>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</si>
  <si>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</si>
  <si>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</si>
  <si>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</si>
  <si>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</si>
  <si>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</si>
  <si>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</si>
  <si>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</si>
  <si>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</si>
  <si>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</si>
  <si>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</si>
  <si>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</si>
  <si>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</si>
  <si>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</si>
  <si>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</si>
  <si>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</si>
  <si>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</si>
  <si>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</si>
  <si>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</si>
  <si>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</si>
  <si>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</si>
  <si>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</si>
  <si>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</si>
  <si>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</si>
  <si>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</si>
  <si>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</si>
  <si>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</si>
  <si>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</si>
  <si>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</si>
  <si>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</si>
  <si>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</si>
  <si>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</si>
  <si>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</si>
  <si>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</si>
  <si>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</si>
  <si>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</si>
  <si>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</si>
  <si>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</si>
  <si>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</si>
  <si>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</si>
  <si>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</si>
  <si>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</si>
  <si>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</si>
  <si>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</si>
  <si>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</si>
  <si>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</si>
  <si>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</si>
  <si>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</si>
  <si>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</si>
  <si>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</si>
  <si>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</si>
  <si>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</si>
  <si>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</si>
  <si>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</si>
  <si>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</si>
  <si>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</si>
  <si>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</si>
  <si>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</si>
  <si>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</si>
  <si>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</si>
  <si>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</si>
  <si>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</si>
  <si>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</si>
  <si>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</si>
  <si>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</si>
  <si>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</si>
  <si>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</si>
  <si>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</si>
  <si>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</si>
  <si>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</si>
  <si>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</si>
  <si>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</si>
  <si>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</si>
  <si>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</si>
  <si>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</si>
  <si>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</si>
  <si>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</si>
  <si>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</si>
  <si>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</si>
  <si>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</si>
  <si>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</si>
  <si>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</si>
  <si>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</si>
  <si>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</si>
  <si>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</si>
  <si>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</si>
  <si>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</si>
  <si>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</si>
  <si>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</si>
  <si>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</si>
  <si>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</si>
  <si>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</si>
  <si>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</si>
  <si>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</si>
  <si>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</si>
  <si>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</si>
  <si>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</si>
  <si>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</si>
  <si>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</si>
  <si>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</si>
  <si>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</si>
  <si>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</si>
  <si>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</si>
  <si>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</si>
  <si>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</si>
  <si>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</si>
  <si>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</si>
  <si>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</si>
  <si>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</si>
  <si>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</si>
  <si>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</si>
  <si>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</si>
  <si>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</si>
  <si>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</si>
  <si>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</si>
  <si>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</si>
  <si>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</si>
  <si>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</si>
  <si>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</si>
  <si>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</si>
  <si>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</si>
  <si>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</si>
  <si>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</si>
  <si>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</si>
  <si>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</si>
  <si>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</si>
  <si>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</si>
  <si>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</si>
  <si>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</si>
  <si>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</si>
  <si>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</si>
  <si>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</si>
  <si>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</si>
  <si>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</si>
  <si>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</si>
  <si>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</si>
  <si>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</si>
  <si>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</si>
  <si>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</si>
  <si>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</si>
  <si>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</si>
  <si>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</si>
  <si>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</si>
  <si>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</si>
  <si>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</si>
  <si>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</si>
  <si>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</si>
  <si>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</si>
  <si>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</si>
  <si>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</si>
  <si>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</si>
  <si>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</si>
  <si>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</si>
  <si>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</si>
  <si>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</si>
  <si>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</si>
  <si>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</si>
  <si>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</si>
  <si>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</si>
  <si>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</si>
  <si>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</si>
  <si>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</si>
  <si>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</si>
  <si>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</si>
  <si>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</si>
  <si>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</si>
  <si>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</si>
  <si>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</si>
  <si>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</si>
  <si>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</si>
  <si>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</si>
  <si>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</si>
  <si>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</si>
  <si>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</si>
  <si>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</si>
  <si>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</si>
  <si>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</si>
  <si>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</si>
  <si>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</si>
  <si>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</si>
  <si>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</si>
  <si>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</si>
  <si>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</si>
  <si>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</si>
  <si>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</si>
  <si>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</si>
  <si>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</si>
  <si>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</si>
  <si>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</si>
  <si>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</si>
  <si>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</si>
  <si>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</si>
  <si>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</si>
  <si>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</si>
  <si>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</si>
  <si>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</si>
  <si>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</si>
  <si>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</si>
  <si>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</si>
  <si>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</si>
  <si>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</si>
  <si>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</si>
  <si>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</si>
  <si>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</si>
  <si>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</si>
  <si>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</si>
  <si>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</si>
  <si>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</si>
  <si>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</si>
  <si>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</si>
  <si>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</si>
  <si>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</si>
  <si>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</si>
  <si>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</si>
  <si>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</si>
  <si>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</si>
  <si>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</si>
  <si>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</si>
  <si>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</si>
  <si>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</si>
  <si>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</si>
  <si>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</si>
  <si>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</si>
  <si>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</si>
  <si>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</si>
  <si>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</si>
  <si>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</si>
  <si>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</si>
  <si>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</si>
  <si>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</si>
  <si>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</si>
  <si>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</si>
  <si>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</si>
  <si>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</si>
  <si>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</si>
  <si>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</si>
  <si>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</si>
  <si>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</si>
  <si>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</si>
  <si>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</si>
  <si>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</si>
  <si>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</si>
  <si>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</si>
  <si>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</si>
  <si>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</si>
  <si>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</si>
  <si>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</si>
  <si>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</si>
  <si>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</si>
  <si>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</si>
  <si>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</si>
  <si>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</si>
  <si>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</si>
  <si>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</si>
  <si>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</si>
  <si>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</si>
  <si>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</si>
  <si>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</si>
  <si>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</si>
  <si>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</si>
  <si>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</si>
  <si>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</si>
  <si>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</si>
  <si>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</si>
  <si>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</si>
  <si>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</si>
  <si>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</si>
  <si>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</si>
  <si>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</si>
  <si>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</si>
  <si>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</si>
  <si>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</si>
  <si>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</si>
  <si>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</si>
  <si>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</si>
  <si>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</si>
  <si>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</si>
  <si>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</si>
  <si>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</si>
  <si>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</si>
  <si>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</si>
  <si>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</si>
  <si>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</si>
  <si>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</si>
  <si>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</si>
  <si>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</si>
  <si>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</si>
  <si>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</si>
  <si>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</si>
  <si>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</si>
  <si>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</si>
  <si>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</si>
  <si>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</si>
  <si>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</si>
  <si>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</si>
  <si>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</si>
  <si>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</si>
  <si>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</si>
  <si>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</si>
  <si>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</si>
  <si>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</si>
  <si>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</si>
  <si>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</si>
  <si>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</si>
  <si>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</si>
  <si>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</si>
  <si>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</si>
  <si>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</si>
  <si>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</si>
  <si>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</si>
  <si>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</si>
  <si>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</si>
  <si>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</si>
  <si>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</si>
  <si>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</si>
  <si>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</si>
  <si>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</si>
  <si>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</si>
  <si>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</si>
  <si>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</si>
  <si>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</si>
  <si>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</si>
  <si>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</si>
  <si>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</si>
  <si>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</si>
  <si>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</si>
  <si>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</si>
  <si>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</si>
  <si>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</si>
  <si>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</si>
  <si>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</si>
  <si>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</si>
  <si>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</si>
  <si>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</si>
  <si>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</si>
  <si>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</si>
  <si>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</si>
  <si>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</si>
  <si>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</si>
  <si>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</si>
  <si>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</si>
  <si>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</si>
  <si>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</si>
  <si>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</si>
  <si>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</si>
  <si>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</si>
  <si>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</si>
  <si>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</si>
  <si>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</si>
  <si>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</si>
  <si>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</si>
  <si>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</si>
  <si>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</si>
  <si>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</si>
  <si>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</si>
  <si>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</si>
  <si>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</si>
  <si>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</si>
  <si>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</si>
  <si>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</si>
  <si>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</si>
  <si>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</si>
  <si>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</si>
  <si>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</si>
  <si>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</si>
  <si>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</si>
  <si>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</si>
  <si>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</si>
  <si>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</si>
  <si>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</si>
  <si>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</si>
  <si>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</si>
  <si>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</si>
  <si>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</si>
  <si>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</si>
  <si>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</si>
  <si>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</si>
  <si>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</si>
  <si>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</si>
  <si>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</si>
  <si>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</si>
  <si>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</si>
  <si>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</si>
  <si>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</si>
  <si>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</si>
  <si>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</si>
  <si>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</si>
  <si>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</si>
  <si>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</si>
  <si>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</si>
  <si>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</si>
  <si>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</si>
  <si>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</si>
  <si>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</si>
  <si>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</si>
  <si>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</si>
  <si>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</si>
  <si>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</si>
  <si>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</si>
  <si>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</si>
  <si>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</si>
  <si>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</si>
  <si>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</si>
  <si>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</si>
  <si>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</si>
  <si>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</si>
  <si>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</si>
  <si>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</si>
  <si>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</si>
  <si>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</si>
  <si>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</si>
  <si>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</si>
  <si>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</si>
  <si>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</si>
  <si>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</si>
  <si>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</si>
  <si>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</si>
  <si>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</si>
  <si>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</si>
  <si>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</si>
  <si>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</si>
  <si>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</si>
  <si>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</si>
  <si>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</si>
  <si>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</si>
  <si>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</si>
  <si>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</si>
  <si>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</si>
  <si>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</si>
  <si>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</si>
  <si>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</si>
  <si>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</si>
  <si>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</si>
  <si>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</si>
  <si>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</si>
  <si>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</si>
  <si>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</si>
  <si>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</si>
  <si>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</si>
  <si>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</si>
  <si>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</si>
  <si>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</si>
  <si>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</si>
  <si>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</si>
  <si>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</si>
  <si>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</si>
  <si>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</si>
  <si>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</si>
  <si>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</si>
  <si>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</si>
  <si>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</si>
  <si>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</si>
  <si>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</si>
  <si>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</si>
  <si>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</si>
  <si>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</si>
  <si>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</si>
  <si>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</si>
  <si>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</si>
  <si>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</si>
  <si>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</si>
  <si>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</si>
  <si>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</si>
  <si>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</si>
  <si>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</si>
  <si>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</si>
  <si>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</si>
  <si>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</si>
  <si>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</si>
  <si>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</si>
  <si>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</si>
  <si>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</si>
  <si>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</si>
  <si>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</si>
  <si>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</si>
  <si>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</si>
  <si>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</si>
  <si>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</si>
  <si>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</si>
  <si>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</si>
  <si>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</si>
  <si>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</si>
  <si>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</si>
  <si>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</si>
  <si>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</si>
  <si>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</si>
  <si>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</si>
  <si>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</si>
  <si>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</si>
  <si>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</si>
  <si>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</si>
  <si>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</si>
  <si>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</si>
  <si>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</si>
  <si>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</si>
  <si>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</si>
  <si>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</si>
  <si>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</si>
  <si>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</si>
  <si>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</si>
  <si>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</si>
  <si>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</si>
  <si>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</si>
  <si>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</si>
  <si>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</si>
  <si>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</si>
  <si>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</si>
  <si>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</si>
  <si>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</si>
  <si>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</si>
  <si>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</si>
  <si>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</si>
  <si>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</si>
  <si>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</si>
  <si>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</si>
  <si>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</si>
  <si>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</si>
  <si>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</si>
  <si>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</si>
  <si>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</si>
  <si>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</si>
  <si>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</si>
  <si>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</si>
  <si>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</si>
  <si>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</si>
  <si>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</si>
  <si>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</si>
  <si>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</si>
  <si>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</si>
  <si>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</si>
  <si>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</si>
  <si>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</si>
  <si>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</si>
  <si>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</si>
  <si>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</si>
  <si>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</si>
  <si>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</si>
  <si>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</si>
  <si>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</si>
  <si>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</si>
  <si>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</si>
  <si>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</si>
  <si>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</si>
  <si>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</si>
  <si>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</si>
  <si>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</si>
  <si>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</si>
  <si>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</si>
  <si>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</si>
  <si>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</si>
  <si>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</si>
  <si>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</si>
  <si>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</si>
  <si>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</si>
  <si>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</si>
  <si>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</si>
  <si>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</si>
  <si>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</si>
  <si>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</si>
  <si>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</si>
  <si>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</si>
  <si>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</si>
  <si>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</si>
  <si>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</si>
  <si>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</si>
  <si>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</si>
  <si>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</si>
  <si>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</si>
  <si>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</si>
  <si>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</si>
  <si>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</si>
  <si>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</si>
  <si>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</si>
  <si>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</si>
  <si>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</si>
  <si>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</si>
  <si>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</si>
  <si>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</si>
  <si>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</si>
  <si>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</si>
  <si>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</si>
  <si>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</si>
  <si>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</si>
  <si>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</si>
  <si>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</si>
  <si>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</si>
  <si>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</si>
  <si>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</si>
  <si>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</si>
  <si>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</si>
  <si>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</si>
  <si>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</si>
  <si>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</si>
  <si>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</si>
  <si>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</si>
  <si>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</si>
  <si>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</si>
  <si>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</si>
  <si>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</si>
  <si>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</si>
  <si>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</si>
  <si>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</si>
  <si>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</si>
  <si>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</si>
  <si>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</si>
  <si>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</si>
  <si>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</si>
  <si>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</si>
  <si>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</si>
  <si>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</si>
  <si>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</si>
  <si>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</si>
  <si>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</si>
  <si>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</si>
  <si>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</si>
  <si>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</si>
  <si>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</si>
  <si>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</si>
  <si>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</si>
  <si>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</si>
  <si>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</si>
  <si>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</si>
  <si>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</si>
  <si>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</si>
  <si>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</si>
  <si>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</si>
  <si>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</si>
  <si>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</si>
  <si>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</si>
  <si>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</si>
  <si>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</si>
  <si>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</si>
  <si>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</si>
  <si>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</si>
  <si>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</si>
  <si>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</si>
  <si>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</si>
  <si>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</si>
  <si>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</si>
  <si>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</si>
  <si>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</si>
  <si>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</si>
  <si>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</si>
  <si>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</si>
  <si>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</si>
  <si>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</si>
  <si>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</si>
  <si>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</si>
  <si>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</si>
  <si>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</si>
  <si>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</si>
  <si>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</si>
  <si>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</si>
  <si>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</si>
  <si>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</si>
  <si>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</si>
  <si>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</si>
  <si>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</si>
  <si>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</si>
  <si>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</si>
  <si>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</si>
  <si>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</si>
  <si>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</si>
  <si>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</si>
  <si>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</si>
  <si>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</si>
  <si>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</si>
  <si>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</si>
  <si>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</si>
  <si>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</si>
  <si>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</si>
  <si>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</si>
  <si>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</si>
  <si>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</si>
  <si>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</si>
  <si>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</si>
  <si>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</si>
  <si>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</si>
  <si>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</si>
  <si>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</si>
  <si>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</si>
  <si>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</si>
  <si>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</si>
  <si>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</si>
  <si>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</si>
  <si>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</si>
  <si>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</si>
  <si>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</si>
  <si>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</si>
  <si>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</si>
  <si>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</si>
  <si>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</si>
  <si>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</si>
  <si>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</si>
  <si>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</si>
  <si>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</si>
  <si>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</si>
  <si>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</si>
  <si>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</si>
  <si>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</si>
  <si>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</si>
  <si>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</si>
  <si>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</si>
  <si>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</si>
  <si>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</si>
  <si>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</si>
  <si>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</si>
  <si>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</si>
  <si>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</si>
  <si>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</si>
  <si>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</si>
  <si>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</si>
  <si>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</si>
  <si>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</si>
  <si>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</si>
  <si>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</si>
  <si>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</si>
  <si>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</si>
  <si>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</si>
  <si>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</si>
  <si>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</si>
  <si>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</si>
  <si>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</si>
  <si>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</si>
  <si>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</si>
  <si>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</si>
  <si>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</si>
  <si>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</si>
  <si>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</si>
  <si>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</si>
  <si>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</si>
  <si>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</si>
  <si>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</si>
  <si>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</si>
  <si>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</si>
  <si>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</si>
  <si>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</si>
  <si>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</si>
  <si>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</si>
  <si>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</si>
  <si>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</si>
  <si>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</si>
  <si>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</si>
  <si>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</si>
  <si>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</si>
  <si>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</si>
  <si>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</si>
  <si>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</si>
  <si>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</si>
  <si>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</si>
  <si>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</si>
  <si>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</si>
  <si>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</si>
  <si>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</si>
  <si>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</si>
  <si>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</si>
  <si>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</si>
  <si>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</si>
  <si>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</si>
  <si>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</si>
  <si>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</si>
  <si>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</si>
  <si>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</si>
  <si>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</si>
  <si>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</si>
  <si>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</si>
  <si>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</si>
  <si>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</si>
  <si>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</si>
  <si>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</si>
  <si>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</si>
  <si>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</si>
  <si>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</si>
  <si>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</si>
  <si>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</si>
  <si>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</si>
  <si>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</si>
  <si>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</si>
  <si>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</si>
  <si>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</si>
  <si>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</si>
  <si>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</si>
  <si>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</si>
  <si>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</si>
  <si>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</si>
  <si>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</si>
  <si>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</si>
  <si>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</si>
  <si>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</si>
  <si>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</si>
  <si>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</si>
  <si>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</si>
  <si>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</si>
  <si>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</si>
  <si>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</si>
  <si>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</si>
  <si>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SILAO DE LA VICTORIA</t>
  </si>
  <si>
    <t>Al 31 de diciembre de 2020 y al 30 de junio de 2021 (b)</t>
  </si>
  <si>
    <t>Del 1 de enero al 30 de junio de 2021 (b)</t>
  </si>
  <si>
    <t xml:space="preserve">                                          -  </t>
  </si>
  <si>
    <t xml:space="preserve">                                           -  </t>
  </si>
  <si>
    <t xml:space="preserve">                                             -  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</si>
  <si>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</si>
  <si>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</si>
  <si>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</si>
  <si>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</si>
  <si>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</si>
  <si>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</si>
  <si>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</si>
  <si>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31111-0108  EVALUACIÓN Y SEGIMIENTO</t>
  </si>
  <si>
    <t>31111-0109  ATENCIÓN CIUDADANA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</si>
  <si>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</si>
  <si>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</si>
  <si>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</si>
  <si>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</si>
  <si>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</si>
  <si>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</si>
  <si>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31111-0207  DERECHOS HUMANOS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</si>
  <si>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</si>
  <si>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</si>
  <si>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</si>
  <si>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</si>
  <si>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</si>
  <si>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</si>
  <si>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</si>
  <si>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31111-0308  CATASTRO</t>
  </si>
  <si>
    <t>31111-0309  IMPUESTOS INMOBILIARIOS</t>
  </si>
  <si>
    <t>31111-0310  EJECUCIÓN FISCAL</t>
  </si>
  <si>
    <t>31111-0311  OFICIALIA MAYOR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</si>
  <si>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</si>
  <si>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</si>
  <si>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</si>
  <si>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</si>
  <si>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</si>
  <si>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</si>
  <si>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</si>
  <si>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</si>
  <si>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</si>
  <si>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</si>
  <si>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</si>
  <si>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</si>
  <si>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</si>
  <si>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</si>
  <si>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</si>
  <si>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</si>
  <si>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</si>
  <si>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</si>
  <si>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</si>
  <si>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</si>
  <si>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31111-1005  RECLUSORIO MUNICIPAL</t>
  </si>
  <si>
    <t>31111-1006  PROTECCION CIVIL</t>
  </si>
  <si>
    <t>31111-1007  CENTRAL DE EMERGECIAS 911</t>
  </si>
  <si>
    <t>31111-1101  OBRA PUBLICA</t>
  </si>
  <si>
    <t>31111-1201  CONTRALORIA MUNICIPAL</t>
  </si>
  <si>
    <t>31111-1301  INSTITUTO DE LA MUJER</t>
  </si>
  <si>
    <t>31111-1401  INSTITUTO MUNICIPAL DE LA JUVENTUD</t>
  </si>
  <si>
    <t>31111-1008  DIRECCIÓN PREVENCIÓN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</si>
</sst>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72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  <xf numFmtId="172" fontId="15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0" applyNumberFormat="1" applyFont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1" xr:uid="{00000000-0005-0000-0000-00002F000000}"/>
    <cellStyle name="Millares 3" xfId="4" xr:uid="{00000000-0005-0000-0000-000032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8" t="s">
        <v>821</v>
      </c>
      <c r="B1" s="139"/>
      <c r="C1" s="139"/>
      <c r="D1" s="139"/>
      <c r="E1" s="140"/>
    </row>
    <row r="2" spans="1:5" s="7" customFormat="1" ht="14.25" x14ac:dyDescent="0.45">
      <c r="A2" s="24"/>
      <c r="E2" s="25"/>
    </row>
    <row r="3" spans="1:5" s="7" customFormat="1" ht="26.25" customHeight="1" x14ac:dyDescent="0.25">
      <c r="A3" s="24"/>
      <c r="B3" s="29" t="s">
        <v>784</v>
      </c>
      <c r="C3" s="141" t="s">
        <v>3294</v>
      </c>
      <c r="D3" s="141"/>
      <c r="E3" s="25"/>
    </row>
    <row r="4" spans="1:5" s="7" customFormat="1" ht="14.25" x14ac:dyDescent="0.45">
      <c r="A4" s="24"/>
      <c r="E4" s="25"/>
    </row>
    <row r="5" spans="1:5" s="7" customFormat="1" ht="26.25" customHeight="1" x14ac:dyDescent="0.45">
      <c r="A5" s="24"/>
      <c r="B5" s="29" t="s">
        <v>787</v>
      </c>
      <c r="E5" s="25"/>
    </row>
    <row r="6" spans="1:5" s="7" customFormat="1" ht="14.25" x14ac:dyDescent="0.45">
      <c r="A6" s="24"/>
      <c r="E6" s="25"/>
    </row>
    <row r="7" spans="1:5" s="7" customFormat="1" ht="26.25" customHeight="1" x14ac:dyDescent="0.45">
      <c r="A7" s="24"/>
      <c r="B7" s="29" t="s">
        <v>788</v>
      </c>
      <c r="E7" s="25"/>
    </row>
    <row r="8" spans="1:5" s="7" customFormat="1" ht="14.25" x14ac:dyDescent="0.45">
      <c r="A8" s="24"/>
      <c r="E8" s="25"/>
    </row>
    <row r="9" spans="1:5" s="7" customFormat="1" ht="26.25" customHeight="1" x14ac:dyDescent="0.25">
      <c r="A9" s="24"/>
      <c r="B9" s="29" t="s">
        <v>786</v>
      </c>
      <c r="E9" s="25"/>
    </row>
    <row r="10" spans="1:5" s="7" customFormat="1" ht="14.25" x14ac:dyDescent="0.45">
      <c r="A10" s="24"/>
      <c r="E10" s="25"/>
    </row>
    <row r="11" spans="1:5" s="7" customFormat="1" ht="26.25" customHeight="1" x14ac:dyDescent="0.45">
      <c r="A11" s="24"/>
      <c r="B11" s="29" t="s">
        <v>785</v>
      </c>
      <c r="E11" s="25"/>
    </row>
    <row r="12" spans="1:5" s="7" customFormat="1" ht="14.65" thickBot="1" x14ac:dyDescent="0.5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zoomScale="70" zoomScaleNormal="70" workbookViewId="0">
      <selection activeCell="B15" sqref="B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0" customFormat="1" ht="37.5" customHeight="1" x14ac:dyDescent="0.45">
      <c r="A1" s="154" t="s">
        <v>534</v>
      </c>
      <c r="B1" s="154"/>
      <c r="C1" s="154"/>
      <c r="D1" s="154"/>
      <c r="E1" s="100"/>
      <c r="F1" s="100"/>
      <c r="G1" s="100"/>
      <c r="H1" s="100"/>
      <c r="I1" s="100"/>
      <c r="J1" s="100"/>
      <c r="K1" s="100"/>
    </row>
    <row r="2" spans="1:11" ht="14.25" x14ac:dyDescent="0.45">
      <c r="A2" s="142" t="str">
        <f>ENTE_PUBLICO_A</f>
        <v>MUNICIPIO DE SILAO DE LA VICTORIA, Gobierno del Estado de Guanajuato (a)</v>
      </c>
      <c r="B2" s="143"/>
      <c r="C2" s="143"/>
      <c r="D2" s="144"/>
    </row>
    <row r="3" spans="1:11" ht="14.25" x14ac:dyDescent="0.45">
      <c r="A3" s="145" t="s">
        <v>166</v>
      </c>
      <c r="B3" s="146"/>
      <c r="C3" s="146"/>
      <c r="D3" s="147"/>
    </row>
    <row r="4" spans="1:11" ht="14.25" x14ac:dyDescent="0.45">
      <c r="A4" s="148" t="str">
        <f>TRIMESTRE</f>
        <v>Del 1 de enero al 30 de junio de 2021 (b)</v>
      </c>
      <c r="B4" s="149"/>
      <c r="C4" s="149"/>
      <c r="D4" s="150"/>
    </row>
    <row r="5" spans="1:11" ht="14.25" x14ac:dyDescent="0.45">
      <c r="A5" s="151" t="s">
        <v>118</v>
      </c>
      <c r="B5" s="152"/>
      <c r="C5" s="152"/>
      <c r="D5" s="153"/>
    </row>
    <row r="6" spans="1:11" ht="14.25" x14ac:dyDescent="0.45"/>
    <row r="7" spans="1:11" ht="39" customHeight="1" x14ac:dyDescent="0.45">
      <c r="A7" s="105" t="s">
        <v>0</v>
      </c>
      <c r="B7" s="43" t="s">
        <v>181</v>
      </c>
      <c r="C7" s="43" t="s">
        <v>167</v>
      </c>
      <c r="D7" s="43" t="s">
        <v>182</v>
      </c>
    </row>
    <row r="8" spans="1:11" x14ac:dyDescent="0.25">
      <c r="A8" s="53" t="s">
        <v>168</v>
      </c>
      <c r="B8" s="135">
        <f>SUM(B9:B11)</f>
        <v>611156221.34000003</v>
      </c>
      <c r="C8" s="135">
        <f t="shared" ref="C8:D8" si="0">SUM(C9:C11)</f>
        <v>373940068.18000001</v>
      </c>
      <c r="D8" s="135">
        <f t="shared" si="0"/>
        <v>373940068.18000001</v>
      </c>
    </row>
    <row r="9" spans="1:11" x14ac:dyDescent="0.25">
      <c r="A9" s="51" t="s">
        <v>169</v>
      </c>
      <c r="B9" s="136">
        <v>395832136.86000001</v>
      </c>
      <c r="C9" s="136">
        <v>258854032.18000001</v>
      </c>
      <c r="D9" s="136">
        <v>258854032.18000001</v>
      </c>
    </row>
    <row r="10" spans="1:11" x14ac:dyDescent="0.25">
      <c r="A10" s="51" t="s">
        <v>170</v>
      </c>
      <c r="B10" s="136">
        <v>219068084.47999999</v>
      </c>
      <c r="C10" s="136">
        <v>116958036</v>
      </c>
      <c r="D10" s="136">
        <v>116958036</v>
      </c>
    </row>
    <row r="11" spans="1:11" x14ac:dyDescent="0.25">
      <c r="A11" s="51" t="s">
        <v>171</v>
      </c>
      <c r="B11" s="136">
        <f>B44</f>
        <v>-3744000</v>
      </c>
      <c r="C11" s="136">
        <f t="shared" ref="C11" si="1">C44</f>
        <v>-1872000</v>
      </c>
      <c r="D11" s="136">
        <f>D44</f>
        <v>-1872000</v>
      </c>
    </row>
    <row r="12" spans="1:11" ht="14.25" x14ac:dyDescent="0.45">
      <c r="A12" s="84"/>
      <c r="B12" s="12"/>
      <c r="C12" s="12"/>
      <c r="D12" s="12"/>
    </row>
    <row r="13" spans="1:11" x14ac:dyDescent="0.25">
      <c r="A13" s="53" t="s">
        <v>180</v>
      </c>
      <c r="B13" s="135">
        <f>B14+B15</f>
        <v>611156221.34000003</v>
      </c>
      <c r="C13" s="135">
        <f t="shared" ref="C13:D13" si="2">C14+C15</f>
        <v>234381909.11000001</v>
      </c>
      <c r="D13" s="135">
        <f t="shared" si="2"/>
        <v>215460756.20999998</v>
      </c>
    </row>
    <row r="14" spans="1:11" x14ac:dyDescent="0.25">
      <c r="A14" s="51" t="s">
        <v>172</v>
      </c>
      <c r="B14" s="136">
        <v>395832136.86000001</v>
      </c>
      <c r="C14" s="136">
        <v>179640600.15000001</v>
      </c>
      <c r="D14" s="136">
        <v>160736270.88</v>
      </c>
    </row>
    <row r="15" spans="1:11" x14ac:dyDescent="0.25">
      <c r="A15" s="51" t="s">
        <v>173</v>
      </c>
      <c r="B15" s="136">
        <v>215324084.47999999</v>
      </c>
      <c r="C15" s="136">
        <v>54741308.960000001</v>
      </c>
      <c r="D15" s="136">
        <v>54724485.329999998</v>
      </c>
    </row>
    <row r="16" spans="1:11" x14ac:dyDescent="0.25">
      <c r="A16" s="84"/>
      <c r="B16" s="12"/>
      <c r="C16" s="12"/>
      <c r="D16" s="12"/>
    </row>
    <row r="17" spans="1:4" x14ac:dyDescent="0.25">
      <c r="A17" s="53" t="s">
        <v>174</v>
      </c>
      <c r="B17" s="106">
        <f>B18+B19</f>
        <v>0</v>
      </c>
      <c r="C17" s="136">
        <f t="shared" ref="C17" si="3">C18+C19</f>
        <v>0</v>
      </c>
      <c r="D17" s="136">
        <f>D18+D19</f>
        <v>0</v>
      </c>
    </row>
    <row r="18" spans="1:4" x14ac:dyDescent="0.25">
      <c r="A18" s="51" t="s">
        <v>175</v>
      </c>
      <c r="B18" s="107">
        <v>0</v>
      </c>
      <c r="C18" s="136">
        <v>0</v>
      </c>
      <c r="D18" s="136">
        <v>0</v>
      </c>
    </row>
    <row r="19" spans="1:4" x14ac:dyDescent="0.25">
      <c r="A19" s="51" t="s">
        <v>176</v>
      </c>
      <c r="B19" s="107">
        <v>0</v>
      </c>
      <c r="C19" s="136">
        <v>0</v>
      </c>
      <c r="D19" s="136">
        <v>0</v>
      </c>
    </row>
    <row r="20" spans="1:4" ht="14.25" x14ac:dyDescent="0.45">
      <c r="A20" s="84"/>
      <c r="B20" s="12"/>
      <c r="C20" s="12"/>
      <c r="D20" s="12"/>
    </row>
    <row r="21" spans="1:4" x14ac:dyDescent="0.25">
      <c r="A21" s="53" t="s">
        <v>177</v>
      </c>
      <c r="B21" s="135">
        <f>B8-B13+B17</f>
        <v>0</v>
      </c>
      <c r="C21" s="135">
        <f t="shared" ref="C21:D21" si="4">C8-C13+C17</f>
        <v>139558159.06999999</v>
      </c>
      <c r="D21" s="135">
        <f t="shared" si="4"/>
        <v>158479311.97000003</v>
      </c>
    </row>
    <row r="22" spans="1:4" ht="14.25" x14ac:dyDescent="0.45">
      <c r="A22" s="53"/>
      <c r="B22" s="12"/>
      <c r="C22" s="12"/>
      <c r="D22" s="12"/>
    </row>
    <row r="23" spans="1:4" x14ac:dyDescent="0.25">
      <c r="A23" s="53" t="s">
        <v>178</v>
      </c>
      <c r="B23" s="135">
        <f>B21-B11</f>
        <v>3744000</v>
      </c>
      <c r="C23" s="135">
        <f t="shared" ref="C23:D23" si="5">C21-C11</f>
        <v>141430159.06999999</v>
      </c>
      <c r="D23" s="135">
        <f t="shared" si="5"/>
        <v>160351311.97000003</v>
      </c>
    </row>
    <row r="24" spans="1:4" ht="14.25" x14ac:dyDescent="0.45">
      <c r="A24" s="53"/>
      <c r="B24" s="17"/>
      <c r="C24" s="17"/>
      <c r="D24" s="17"/>
    </row>
    <row r="25" spans="1:4" x14ac:dyDescent="0.25">
      <c r="A25" s="108" t="s">
        <v>179</v>
      </c>
      <c r="B25" s="135">
        <f>B23-B17</f>
        <v>3744000</v>
      </c>
      <c r="C25" s="135">
        <f t="shared" ref="C25" si="6">C23-C17</f>
        <v>141430159.06999999</v>
      </c>
      <c r="D25" s="135">
        <f>D23-D17</f>
        <v>160351311.97000003</v>
      </c>
    </row>
    <row r="26" spans="1:4" ht="14.25" x14ac:dyDescent="0.45">
      <c r="A26" s="109"/>
      <c r="B26" s="13"/>
      <c r="C26" s="13"/>
      <c r="D26" s="13"/>
    </row>
    <row r="27" spans="1:4" ht="14.25" x14ac:dyDescent="0.45">
      <c r="A27" s="79"/>
    </row>
    <row r="28" spans="1:4" ht="30" customHeight="1" x14ac:dyDescent="0.45">
      <c r="A28" s="105" t="s">
        <v>183</v>
      </c>
      <c r="B28" s="43" t="s">
        <v>184</v>
      </c>
      <c r="C28" s="43" t="s">
        <v>167</v>
      </c>
      <c r="D28" s="43" t="s">
        <v>185</v>
      </c>
    </row>
    <row r="29" spans="1:4" x14ac:dyDescent="0.25">
      <c r="A29" s="53" t="s">
        <v>186</v>
      </c>
      <c r="B29" s="135">
        <f>B30+B31</f>
        <v>1000000</v>
      </c>
      <c r="C29" s="135">
        <f t="shared" ref="C29:D29" si="7">C30+C31</f>
        <v>326180.25</v>
      </c>
      <c r="D29" s="135">
        <f t="shared" si="7"/>
        <v>326180.25</v>
      </c>
    </row>
    <row r="30" spans="1:4" x14ac:dyDescent="0.25">
      <c r="A30" s="51" t="s">
        <v>187</v>
      </c>
      <c r="B30" s="136">
        <v>0</v>
      </c>
      <c r="C30" s="136">
        <v>0</v>
      </c>
      <c r="D30" s="136">
        <v>0</v>
      </c>
    </row>
    <row r="31" spans="1:4" x14ac:dyDescent="0.25">
      <c r="A31" s="51" t="s">
        <v>188</v>
      </c>
      <c r="B31" s="136">
        <v>1000000</v>
      </c>
      <c r="C31" s="136">
        <v>326180.25</v>
      </c>
      <c r="D31" s="136">
        <v>326180.25</v>
      </c>
    </row>
    <row r="32" spans="1:4" x14ac:dyDescent="0.25">
      <c r="A32" s="52"/>
      <c r="B32" s="52"/>
      <c r="C32" s="52"/>
      <c r="D32" s="52"/>
    </row>
    <row r="33" spans="1:4" x14ac:dyDescent="0.25">
      <c r="A33" s="53" t="s">
        <v>189</v>
      </c>
      <c r="B33" s="135">
        <f>B25+B29</f>
        <v>4744000</v>
      </c>
      <c r="C33" s="135">
        <f t="shared" ref="C33:D33" si="8">C25+C29</f>
        <v>141756339.31999999</v>
      </c>
      <c r="D33" s="135">
        <f t="shared" si="8"/>
        <v>160677492.22000003</v>
      </c>
    </row>
    <row r="34" spans="1:4" ht="14.25" x14ac:dyDescent="0.45">
      <c r="A34" s="56"/>
      <c r="B34" s="56"/>
      <c r="C34" s="56"/>
      <c r="D34" s="56"/>
    </row>
    <row r="35" spans="1:4" x14ac:dyDescent="0.25">
      <c r="A35" s="79"/>
    </row>
    <row r="36" spans="1:4" ht="30" x14ac:dyDescent="0.25">
      <c r="A36" s="105" t="s">
        <v>183</v>
      </c>
      <c r="B36" s="43" t="s">
        <v>190</v>
      </c>
      <c r="C36" s="43" t="s">
        <v>167</v>
      </c>
      <c r="D36" s="43" t="s">
        <v>182</v>
      </c>
    </row>
    <row r="37" spans="1:4" x14ac:dyDescent="0.25">
      <c r="A37" s="53" t="s">
        <v>191</v>
      </c>
      <c r="B37" s="135">
        <f>B38+B39</f>
        <v>0</v>
      </c>
      <c r="C37" s="135">
        <f t="shared" ref="C37:D37" si="9">C38+C39</f>
        <v>0</v>
      </c>
      <c r="D37" s="135">
        <f t="shared" si="9"/>
        <v>0</v>
      </c>
    </row>
    <row r="38" spans="1:4" x14ac:dyDescent="0.25">
      <c r="A38" s="51" t="s">
        <v>192</v>
      </c>
      <c r="B38" s="136">
        <v>0</v>
      </c>
      <c r="C38" s="136">
        <v>0</v>
      </c>
      <c r="D38" s="136">
        <v>0</v>
      </c>
    </row>
    <row r="39" spans="1:4" x14ac:dyDescent="0.25">
      <c r="A39" s="51" t="s">
        <v>193</v>
      </c>
      <c r="B39" s="136">
        <v>0</v>
      </c>
      <c r="C39" s="136">
        <v>0</v>
      </c>
      <c r="D39" s="136">
        <v>0</v>
      </c>
    </row>
    <row r="40" spans="1:4" x14ac:dyDescent="0.25">
      <c r="A40" s="53" t="s">
        <v>194</v>
      </c>
      <c r="B40" s="135">
        <f>B41+B42</f>
        <v>3744000</v>
      </c>
      <c r="C40" s="135">
        <f t="shared" ref="C40:D40" si="10">C41+C42</f>
        <v>1872000</v>
      </c>
      <c r="D40" s="135">
        <f t="shared" si="10"/>
        <v>1872000</v>
      </c>
    </row>
    <row r="41" spans="1:4" x14ac:dyDescent="0.25">
      <c r="A41" s="51" t="s">
        <v>195</v>
      </c>
      <c r="B41" s="136">
        <v>0</v>
      </c>
      <c r="C41" s="136">
        <v>0</v>
      </c>
      <c r="D41" s="136">
        <v>0</v>
      </c>
    </row>
    <row r="42" spans="1:4" x14ac:dyDescent="0.25">
      <c r="A42" s="51" t="s">
        <v>196</v>
      </c>
      <c r="B42" s="136">
        <v>3744000</v>
      </c>
      <c r="C42" s="136">
        <v>1872000</v>
      </c>
      <c r="D42" s="136">
        <v>1872000</v>
      </c>
    </row>
    <row r="43" spans="1:4" x14ac:dyDescent="0.25">
      <c r="A43" s="52"/>
      <c r="B43" s="52"/>
      <c r="C43" s="52"/>
      <c r="D43" s="52"/>
    </row>
    <row r="44" spans="1:4" x14ac:dyDescent="0.25">
      <c r="A44" s="53" t="s">
        <v>197</v>
      </c>
      <c r="B44" s="135">
        <f>B37-B40</f>
        <v>-3744000</v>
      </c>
      <c r="C44" s="135">
        <f t="shared" ref="C44:D44" si="11">C37-C40</f>
        <v>-1872000</v>
      </c>
      <c r="D44" s="135">
        <f t="shared" si="11"/>
        <v>-1872000</v>
      </c>
    </row>
    <row r="45" spans="1:4" x14ac:dyDescent="0.25">
      <c r="A45" s="129"/>
      <c r="B45" s="56"/>
      <c r="C45" s="56"/>
      <c r="D45" s="56"/>
    </row>
    <row r="46" spans="1:4" x14ac:dyDescent="0.25"/>
    <row r="47" spans="1:4" ht="30" x14ac:dyDescent="0.25">
      <c r="A47" s="105" t="s">
        <v>183</v>
      </c>
      <c r="B47" s="43" t="s">
        <v>190</v>
      </c>
      <c r="C47" s="43" t="s">
        <v>167</v>
      </c>
      <c r="D47" s="43" t="s">
        <v>182</v>
      </c>
    </row>
    <row r="48" spans="1:4" x14ac:dyDescent="0.25">
      <c r="A48" s="112" t="s">
        <v>198</v>
      </c>
      <c r="B48" s="136">
        <f>B9</f>
        <v>395832136.86000001</v>
      </c>
      <c r="C48" s="136">
        <f>C9</f>
        <v>258854032.18000001</v>
      </c>
      <c r="D48" s="136">
        <f t="shared" ref="D48" si="12">D9</f>
        <v>258854032.18000001</v>
      </c>
    </row>
    <row r="49" spans="1:4" x14ac:dyDescent="0.25">
      <c r="A49" s="113" t="s">
        <v>199</v>
      </c>
      <c r="B49" s="135">
        <f>B50-B51</f>
        <v>0</v>
      </c>
      <c r="C49" s="135">
        <f t="shared" ref="C49:D49" si="13">C50-C51</f>
        <v>0</v>
      </c>
      <c r="D49" s="135">
        <f t="shared" si="13"/>
        <v>0</v>
      </c>
    </row>
    <row r="50" spans="1:4" x14ac:dyDescent="0.25">
      <c r="A50" s="114" t="s">
        <v>192</v>
      </c>
      <c r="B50" s="136">
        <v>0</v>
      </c>
      <c r="C50" s="136">
        <v>0</v>
      </c>
      <c r="D50" s="136">
        <v>0</v>
      </c>
    </row>
    <row r="51" spans="1:4" x14ac:dyDescent="0.25">
      <c r="A51" s="114" t="s">
        <v>195</v>
      </c>
      <c r="B51" s="136">
        <v>0</v>
      </c>
      <c r="C51" s="136">
        <v>0</v>
      </c>
      <c r="D51" s="136">
        <v>0</v>
      </c>
    </row>
    <row r="52" spans="1:4" x14ac:dyDescent="0.25">
      <c r="A52" s="52"/>
      <c r="B52" s="52"/>
      <c r="C52" s="52"/>
      <c r="D52" s="52"/>
    </row>
    <row r="53" spans="1:4" x14ac:dyDescent="0.25">
      <c r="A53" s="51" t="s">
        <v>172</v>
      </c>
      <c r="B53" s="136">
        <f>B14</f>
        <v>395832136.86000001</v>
      </c>
      <c r="C53" s="136">
        <f t="shared" ref="C53:D53" si="14">C14</f>
        <v>179640600.15000001</v>
      </c>
      <c r="D53" s="136">
        <f t="shared" si="14"/>
        <v>160736270.88</v>
      </c>
    </row>
    <row r="54" spans="1:4" x14ac:dyDescent="0.25">
      <c r="A54" s="52"/>
      <c r="B54" s="52"/>
      <c r="C54" s="52"/>
      <c r="D54" s="52"/>
    </row>
    <row r="55" spans="1:4" x14ac:dyDescent="0.25">
      <c r="A55" s="51" t="s">
        <v>175</v>
      </c>
      <c r="B55" s="111">
        <f>B18</f>
        <v>0</v>
      </c>
      <c r="C55" s="136">
        <f t="shared" ref="C55:D55" si="15">C18</f>
        <v>0</v>
      </c>
      <c r="D55" s="136">
        <f t="shared" si="15"/>
        <v>0</v>
      </c>
    </row>
    <row r="56" spans="1:4" x14ac:dyDescent="0.25">
      <c r="A56" s="52"/>
      <c r="B56" s="52"/>
      <c r="C56" s="52"/>
      <c r="D56" s="52"/>
    </row>
    <row r="57" spans="1:4" ht="32.25" customHeight="1" x14ac:dyDescent="0.25">
      <c r="A57" s="108" t="s">
        <v>201</v>
      </c>
      <c r="B57" s="135">
        <f>B48+B49-B53+B55</f>
        <v>0</v>
      </c>
      <c r="C57" s="135">
        <f>C48+C49-C53+C55</f>
        <v>79213432.030000001</v>
      </c>
      <c r="D57" s="135">
        <f t="shared" ref="D57" si="16">D48+D49-D53+D55</f>
        <v>98117761.300000012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108" t="s">
        <v>200</v>
      </c>
      <c r="B59" s="135">
        <f>B57-B49</f>
        <v>0</v>
      </c>
      <c r="C59" s="135">
        <f t="shared" ref="C59:D59" si="17">C57-C49</f>
        <v>79213432.030000001</v>
      </c>
      <c r="D59" s="135">
        <f t="shared" si="17"/>
        <v>98117761.300000012</v>
      </c>
    </row>
    <row r="60" spans="1:4" x14ac:dyDescent="0.25">
      <c r="A60" s="56"/>
      <c r="B60" s="56"/>
      <c r="C60" s="56"/>
      <c r="D60" s="56"/>
    </row>
    <row r="61" spans="1:4" x14ac:dyDescent="0.25"/>
    <row r="62" spans="1:4" ht="30" x14ac:dyDescent="0.25">
      <c r="A62" s="105" t="s">
        <v>183</v>
      </c>
      <c r="B62" s="43" t="s">
        <v>190</v>
      </c>
      <c r="C62" s="43" t="s">
        <v>167</v>
      </c>
      <c r="D62" s="43" t="s">
        <v>182</v>
      </c>
    </row>
    <row r="63" spans="1:4" x14ac:dyDescent="0.25">
      <c r="A63" s="112" t="s">
        <v>170</v>
      </c>
      <c r="B63" s="136">
        <f>B10</f>
        <v>219068084.47999999</v>
      </c>
      <c r="C63" s="136">
        <f t="shared" ref="C63:D63" si="18">C10</f>
        <v>116958036</v>
      </c>
      <c r="D63" s="136">
        <f t="shared" si="18"/>
        <v>116958036</v>
      </c>
    </row>
    <row r="64" spans="1:4" ht="30" x14ac:dyDescent="0.25">
      <c r="A64" s="113" t="s">
        <v>202</v>
      </c>
      <c r="B64" s="135">
        <f>B65-B66</f>
        <v>-3744000</v>
      </c>
      <c r="C64" s="135">
        <f t="shared" ref="C64:D64" si="19">C65-C66</f>
        <v>-1872000</v>
      </c>
      <c r="D64" s="135">
        <f t="shared" si="19"/>
        <v>-1872000</v>
      </c>
    </row>
    <row r="65" spans="1:4" x14ac:dyDescent="0.25">
      <c r="A65" s="114" t="s">
        <v>193</v>
      </c>
      <c r="B65" s="136">
        <v>0</v>
      </c>
      <c r="C65" s="136">
        <v>0</v>
      </c>
      <c r="D65" s="136">
        <v>0</v>
      </c>
    </row>
    <row r="66" spans="1:4" x14ac:dyDescent="0.25">
      <c r="A66" s="114" t="s">
        <v>196</v>
      </c>
      <c r="B66" s="136">
        <v>3744000</v>
      </c>
      <c r="C66" s="136">
        <v>1872000</v>
      </c>
      <c r="D66" s="136">
        <v>1872000</v>
      </c>
    </row>
    <row r="67" spans="1:4" x14ac:dyDescent="0.25">
      <c r="A67" s="52"/>
      <c r="B67" s="12"/>
      <c r="C67" s="12"/>
      <c r="D67" s="12"/>
    </row>
    <row r="68" spans="1:4" x14ac:dyDescent="0.25">
      <c r="A68" s="51" t="s">
        <v>203</v>
      </c>
      <c r="B68" s="136">
        <f>B15</f>
        <v>215324084.47999999</v>
      </c>
      <c r="C68" s="136">
        <f t="shared" ref="C68:D68" si="20">C15</f>
        <v>54741308.960000001</v>
      </c>
      <c r="D68" s="136">
        <f t="shared" si="20"/>
        <v>54724485.329999998</v>
      </c>
    </row>
    <row r="69" spans="1:4" x14ac:dyDescent="0.25">
      <c r="A69" s="52"/>
      <c r="B69" s="12"/>
      <c r="C69" s="12"/>
      <c r="D69" s="12"/>
    </row>
    <row r="70" spans="1:4" x14ac:dyDescent="0.25">
      <c r="A70" s="51" t="s">
        <v>176</v>
      </c>
      <c r="B70" s="110">
        <f>B19</f>
        <v>0</v>
      </c>
      <c r="C70" s="136">
        <f t="shared" ref="C70:D70" si="21">C19</f>
        <v>0</v>
      </c>
      <c r="D70" s="136">
        <f t="shared" si="21"/>
        <v>0</v>
      </c>
    </row>
    <row r="71" spans="1:4" x14ac:dyDescent="0.25">
      <c r="A71" s="52"/>
      <c r="B71" s="12"/>
      <c r="C71" s="12"/>
      <c r="D71" s="12"/>
    </row>
    <row r="72" spans="1:4" ht="30" customHeight="1" x14ac:dyDescent="0.25">
      <c r="A72" s="108" t="s">
        <v>205</v>
      </c>
      <c r="B72" s="135">
        <f>B63+B64-B68+B70</f>
        <v>0</v>
      </c>
      <c r="C72" s="135">
        <f t="shared" ref="C72:D72" si="22">C63+C64-C68+C70</f>
        <v>60344727.039999999</v>
      </c>
      <c r="D72" s="135">
        <f t="shared" si="22"/>
        <v>60361550.670000002</v>
      </c>
    </row>
    <row r="73" spans="1:4" x14ac:dyDescent="0.25">
      <c r="A73" s="52"/>
      <c r="B73" s="12"/>
      <c r="C73" s="12"/>
      <c r="D73" s="12"/>
    </row>
    <row r="74" spans="1:4" ht="30" customHeight="1" x14ac:dyDescent="0.25">
      <c r="A74" s="108" t="s">
        <v>204</v>
      </c>
      <c r="B74" s="135">
        <f>B72-B64</f>
        <v>3744000</v>
      </c>
      <c r="C74" s="135">
        <f>C72-C64</f>
        <v>62216727.039999999</v>
      </c>
      <c r="D74" s="135">
        <f t="shared" ref="D74" si="23">D72-D64</f>
        <v>62233550.670000002</v>
      </c>
    </row>
    <row r="75" spans="1:4" x14ac:dyDescent="0.25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611156221.34000003</v>
      </c>
      <c r="Q2" s="18">
        <f>'Formato 4'!C8</f>
        <v>373940068.18000001</v>
      </c>
      <c r="R2" s="18">
        <f>'Formato 4'!D8</f>
        <v>373940068.18000001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395832136.86000001</v>
      </c>
      <c r="Q3" s="18">
        <f>'Formato 4'!C9</f>
        <v>258854032.18000001</v>
      </c>
      <c r="R3" s="18">
        <f>'Formato 4'!D9</f>
        <v>258854032.18000001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219068084.47999999</v>
      </c>
      <c r="Q4" s="18">
        <f>'Formato 4'!C10</f>
        <v>116958036</v>
      </c>
      <c r="R4" s="18">
        <f>'Formato 4'!D10</f>
        <v>116958036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-3744000</v>
      </c>
      <c r="Q5" s="18">
        <f>'Formato 4'!C11</f>
        <v>-1872000</v>
      </c>
      <c r="R5" s="18">
        <f>'Formato 4'!D11</f>
        <v>-1872000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611156221.34000003</v>
      </c>
      <c r="Q6" s="18">
        <f>'Formato 4'!C13</f>
        <v>234381909.11000001</v>
      </c>
      <c r="R6" s="18">
        <f>'Formato 4'!D13</f>
        <v>215460756.20999998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395832136.86000001</v>
      </c>
      <c r="Q7" s="18">
        <f>'Formato 4'!C14</f>
        <v>179640600.15000001</v>
      </c>
      <c r="R7" s="18">
        <f>'Formato 4'!D14</f>
        <v>160736270.88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215324084.47999999</v>
      </c>
      <c r="Q8" s="18">
        <f>'Formato 4'!C15</f>
        <v>54741308.960000001</v>
      </c>
      <c r="R8" s="18">
        <f>'Formato 4'!D15</f>
        <v>54724485.329999998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139558159.06999999</v>
      </c>
      <c r="R12" s="18">
        <f>'Formato 4'!D21</f>
        <v>158479311.97000003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3744000</v>
      </c>
      <c r="Q13" s="18">
        <f>'Formato 4'!C23</f>
        <v>141430159.06999999</v>
      </c>
      <c r="R13" s="18">
        <f>'Formato 4'!D23</f>
        <v>160351311.97000003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3744000</v>
      </c>
      <c r="Q14" s="18">
        <f>'Formato 4'!C25</f>
        <v>141430159.06999999</v>
      </c>
      <c r="R14" s="18">
        <f>'Formato 4'!D25</f>
        <v>160351311.97000003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1000000</v>
      </c>
      <c r="Q15">
        <f>'Formato 4'!C29</f>
        <v>326180.25</v>
      </c>
      <c r="R15">
        <f>'Formato 4'!D29</f>
        <v>326180.25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1000000</v>
      </c>
      <c r="Q17">
        <f>'Formato 4'!C31</f>
        <v>326180.25</v>
      </c>
      <c r="R17">
        <f>'Formato 4'!D31</f>
        <v>326180.25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4744000</v>
      </c>
      <c r="Q18">
        <f>'Formato 4'!C33</f>
        <v>141756339.31999999</v>
      </c>
      <c r="R18">
        <f>'Formato 4'!D33</f>
        <v>160677492.22000003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3744000</v>
      </c>
      <c r="Q22">
        <f>'Formato 4'!C40</f>
        <v>1872000</v>
      </c>
      <c r="R22">
        <f>'Formato 4'!D40</f>
        <v>1872000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3744000</v>
      </c>
      <c r="Q24">
        <f>'Formato 4'!C42</f>
        <v>1872000</v>
      </c>
      <c r="R24">
        <f>'Formato 4'!D42</f>
        <v>1872000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-3744000</v>
      </c>
      <c r="Q25">
        <f>'Formato 4'!C44</f>
        <v>-1872000</v>
      </c>
      <c r="R25">
        <f>'Formato 4'!D44</f>
        <v>-1872000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395832136.86000001</v>
      </c>
      <c r="Q26">
        <f>'Formato 4'!C48</f>
        <v>258854032.18000001</v>
      </c>
      <c r="R26">
        <f>'Formato 4'!D48</f>
        <v>258854032.18000001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395832136.86000001</v>
      </c>
      <c r="Q30">
        <f>'Formato 4'!C53</f>
        <v>179640600.15000001</v>
      </c>
      <c r="R30">
        <f>'Formato 4'!D53</f>
        <v>160736270.88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219068084.47999999</v>
      </c>
      <c r="Q32">
        <f>'Formato 4'!C63</f>
        <v>116958036</v>
      </c>
      <c r="R32">
        <f>'Formato 4'!D63</f>
        <v>116958036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-3744000</v>
      </c>
      <c r="Q33">
        <f>'Formato 4'!C64</f>
        <v>-1872000</v>
      </c>
      <c r="R33">
        <f>'Formato 4'!D64</f>
        <v>-1872000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3744000</v>
      </c>
      <c r="Q35">
        <f>'Formato 4'!C66</f>
        <v>1872000</v>
      </c>
      <c r="R35">
        <f>'Formato 4'!D66</f>
        <v>1872000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215324084.47999999</v>
      </c>
      <c r="Q36">
        <f>'Formato 4'!C68</f>
        <v>54741308.960000001</v>
      </c>
      <c r="R36">
        <f>'Formato 4'!D68</f>
        <v>54724485.329999998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60344727.039999999</v>
      </c>
      <c r="R38">
        <f>'Formato 4'!D72</f>
        <v>60361550.670000002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3744000</v>
      </c>
      <c r="Q39">
        <f>'Formato 4'!C74</f>
        <v>62216727.039999999</v>
      </c>
      <c r="R39">
        <f>'Formato 4'!D74</f>
        <v>62233550.670000002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44" zoomScale="85" zoomScaleNormal="85" workbookViewId="0">
      <selection activeCell="D60" sqref="D6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0" customFormat="1" ht="37.5" customHeight="1" x14ac:dyDescent="0.25">
      <c r="A1" s="160" t="s">
        <v>206</v>
      </c>
      <c r="B1" s="160"/>
      <c r="C1" s="160"/>
      <c r="D1" s="160"/>
      <c r="E1" s="160"/>
      <c r="F1" s="160"/>
      <c r="G1" s="160"/>
    </row>
    <row r="2" spans="1:8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8" x14ac:dyDescent="0.25">
      <c r="A3" s="145" t="s">
        <v>207</v>
      </c>
      <c r="B3" s="146"/>
      <c r="C3" s="146"/>
      <c r="D3" s="146"/>
      <c r="E3" s="146"/>
      <c r="F3" s="146"/>
      <c r="G3" s="147"/>
    </row>
    <row r="4" spans="1:8" ht="14.25" x14ac:dyDescent="0.45">
      <c r="A4" s="148" t="str">
        <f>TRIMESTRE</f>
        <v>Del 1 de enero al 30 de junio de 2021 (b)</v>
      </c>
      <c r="B4" s="149"/>
      <c r="C4" s="149"/>
      <c r="D4" s="149"/>
      <c r="E4" s="149"/>
      <c r="F4" s="149"/>
      <c r="G4" s="150"/>
    </row>
    <row r="5" spans="1:8" ht="14.25" x14ac:dyDescent="0.45">
      <c r="A5" s="151" t="s">
        <v>118</v>
      </c>
      <c r="B5" s="152"/>
      <c r="C5" s="152"/>
      <c r="D5" s="152"/>
      <c r="E5" s="152"/>
      <c r="F5" s="152"/>
      <c r="G5" s="153"/>
    </row>
    <row r="6" spans="1:8" x14ac:dyDescent="0.25">
      <c r="A6" s="157" t="s">
        <v>214</v>
      </c>
      <c r="B6" s="159" t="s">
        <v>208</v>
      </c>
      <c r="C6" s="159"/>
      <c r="D6" s="159"/>
      <c r="E6" s="159"/>
      <c r="F6" s="159"/>
      <c r="G6" s="159" t="s">
        <v>209</v>
      </c>
    </row>
    <row r="7" spans="1:8" ht="30" x14ac:dyDescent="0.25">
      <c r="A7" s="158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159"/>
    </row>
    <row r="8" spans="1:8" x14ac:dyDescent="0.25">
      <c r="A8" s="50" t="s">
        <v>215</v>
      </c>
      <c r="B8" s="12"/>
      <c r="C8" s="12"/>
      <c r="D8" s="12"/>
      <c r="E8" s="12"/>
      <c r="F8" s="12"/>
      <c r="G8" s="12"/>
    </row>
    <row r="9" spans="1:8" x14ac:dyDescent="0.25">
      <c r="A9" s="51" t="s">
        <v>216</v>
      </c>
      <c r="B9" s="136">
        <v>139111605.16</v>
      </c>
      <c r="C9" s="136">
        <v>0</v>
      </c>
      <c r="D9" s="136">
        <v>139111605.16</v>
      </c>
      <c r="E9" s="136">
        <v>104970170.78</v>
      </c>
      <c r="F9" s="136">
        <v>104970170.78</v>
      </c>
      <c r="G9" s="136">
        <f>F9-B9</f>
        <v>-34141434.379999995</v>
      </c>
      <c r="H9" s="8"/>
    </row>
    <row r="10" spans="1:8" x14ac:dyDescent="0.25">
      <c r="A10" s="51" t="s">
        <v>217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f t="shared" ref="G10:G14" si="0">F10-B10</f>
        <v>0</v>
      </c>
    </row>
    <row r="11" spans="1:8" x14ac:dyDescent="0.25">
      <c r="A11" s="51" t="s">
        <v>218</v>
      </c>
      <c r="B11" s="136">
        <v>37894.449999999997</v>
      </c>
      <c r="C11" s="136">
        <v>0</v>
      </c>
      <c r="D11" s="136">
        <v>37894.449999999997</v>
      </c>
      <c r="E11" s="136">
        <v>0</v>
      </c>
      <c r="F11" s="136">
        <v>0</v>
      </c>
      <c r="G11" s="136">
        <f t="shared" si="0"/>
        <v>-37894.449999999997</v>
      </c>
    </row>
    <row r="12" spans="1:8" x14ac:dyDescent="0.25">
      <c r="A12" s="51" t="s">
        <v>219</v>
      </c>
      <c r="B12" s="136">
        <v>25820266.77</v>
      </c>
      <c r="C12" s="136">
        <v>0</v>
      </c>
      <c r="D12" s="136">
        <v>25820266.77</v>
      </c>
      <c r="E12" s="136">
        <v>11391406.789999999</v>
      </c>
      <c r="F12" s="136">
        <v>11391406.789999999</v>
      </c>
      <c r="G12" s="136">
        <f t="shared" si="0"/>
        <v>-14428859.98</v>
      </c>
    </row>
    <row r="13" spans="1:8" x14ac:dyDescent="0.25">
      <c r="A13" s="51" t="s">
        <v>220</v>
      </c>
      <c r="B13" s="136">
        <v>4799742.55</v>
      </c>
      <c r="C13" s="136">
        <v>0</v>
      </c>
      <c r="D13" s="136">
        <v>4799742.55</v>
      </c>
      <c r="E13" s="136">
        <v>5886799.5899999999</v>
      </c>
      <c r="F13" s="136">
        <v>5886799.5899999999</v>
      </c>
      <c r="G13" s="136">
        <f t="shared" si="0"/>
        <v>1087057.04</v>
      </c>
    </row>
    <row r="14" spans="1:8" x14ac:dyDescent="0.25">
      <c r="A14" s="51" t="s">
        <v>221</v>
      </c>
      <c r="B14" s="136">
        <v>7021760.8300000001</v>
      </c>
      <c r="C14" s="136">
        <v>0</v>
      </c>
      <c r="D14" s="136">
        <v>7021760.8300000001</v>
      </c>
      <c r="E14" s="136">
        <v>2342591.7599999998</v>
      </c>
      <c r="F14" s="136">
        <v>2342591.7599999998</v>
      </c>
      <c r="G14" s="136">
        <f t="shared" si="0"/>
        <v>-4679169.07</v>
      </c>
    </row>
    <row r="15" spans="1:8" x14ac:dyDescent="0.25">
      <c r="A15" s="51" t="s">
        <v>222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</row>
    <row r="16" spans="1:8" x14ac:dyDescent="0.25">
      <c r="A16" s="10" t="s">
        <v>275</v>
      </c>
      <c r="B16" s="135">
        <f>SUM(B17:B27)</f>
        <v>215123426.24000001</v>
      </c>
      <c r="C16" s="135">
        <f t="shared" ref="C16:F16" si="1">SUM(C17:C27)</f>
        <v>0</v>
      </c>
      <c r="D16" s="135">
        <f t="shared" si="1"/>
        <v>215123426.24000001</v>
      </c>
      <c r="E16" s="135">
        <f t="shared" si="1"/>
        <v>131722208.82999998</v>
      </c>
      <c r="F16" s="135">
        <f t="shared" si="1"/>
        <v>131722208.82999998</v>
      </c>
      <c r="G16" s="135">
        <f>SUM(G17:G27)</f>
        <v>-83401217.409999996</v>
      </c>
    </row>
    <row r="17" spans="1:7" x14ac:dyDescent="0.25">
      <c r="A17" s="61" t="s">
        <v>223</v>
      </c>
      <c r="B17" s="136">
        <v>148165983.90000001</v>
      </c>
      <c r="C17" s="136">
        <v>0</v>
      </c>
      <c r="D17" s="136">
        <v>148165983.90000001</v>
      </c>
      <c r="E17" s="136">
        <v>83505400.709999993</v>
      </c>
      <c r="F17" s="136">
        <v>83505400.709999993</v>
      </c>
      <c r="G17" s="136">
        <f>F17-B17</f>
        <v>-64660583.190000013</v>
      </c>
    </row>
    <row r="18" spans="1:7" x14ac:dyDescent="0.25">
      <c r="A18" s="61" t="s">
        <v>224</v>
      </c>
      <c r="B18" s="136">
        <v>24771091.77</v>
      </c>
      <c r="C18" s="136">
        <v>0</v>
      </c>
      <c r="D18" s="136">
        <v>24771091.77</v>
      </c>
      <c r="E18" s="136">
        <v>22751073.800000001</v>
      </c>
      <c r="F18" s="136">
        <v>22751073.800000001</v>
      </c>
      <c r="G18" s="136">
        <f t="shared" ref="G18:G27" si="2">F18-B18</f>
        <v>-2020017.9699999988</v>
      </c>
    </row>
    <row r="19" spans="1:7" x14ac:dyDescent="0.25">
      <c r="A19" s="61" t="s">
        <v>225</v>
      </c>
      <c r="B19" s="136">
        <v>11133378.050000001</v>
      </c>
      <c r="C19" s="136">
        <v>0</v>
      </c>
      <c r="D19" s="136">
        <v>11133378.050000001</v>
      </c>
      <c r="E19" s="136">
        <v>6857544.4500000002</v>
      </c>
      <c r="F19" s="136">
        <v>6857544.4500000002</v>
      </c>
      <c r="G19" s="136">
        <f t="shared" si="2"/>
        <v>-4275833.6000000006</v>
      </c>
    </row>
    <row r="20" spans="1:7" x14ac:dyDescent="0.25">
      <c r="A20" s="61" t="s">
        <v>226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f t="shared" si="2"/>
        <v>0</v>
      </c>
    </row>
    <row r="21" spans="1:7" x14ac:dyDescent="0.25">
      <c r="A21" s="61" t="s">
        <v>227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f t="shared" si="2"/>
        <v>0</v>
      </c>
    </row>
    <row r="22" spans="1:7" x14ac:dyDescent="0.25">
      <c r="A22" s="61" t="s">
        <v>228</v>
      </c>
      <c r="B22" s="136">
        <v>2713728.6</v>
      </c>
      <c r="C22" s="136">
        <v>0</v>
      </c>
      <c r="D22" s="136">
        <v>2713728.6</v>
      </c>
      <c r="E22" s="136">
        <v>1405263.07</v>
      </c>
      <c r="F22" s="136">
        <v>1405263.07</v>
      </c>
      <c r="G22" s="136">
        <f t="shared" si="2"/>
        <v>-1308465.53</v>
      </c>
    </row>
    <row r="23" spans="1:7" x14ac:dyDescent="0.25">
      <c r="A23" s="61" t="s">
        <v>229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f t="shared" si="2"/>
        <v>0</v>
      </c>
    </row>
    <row r="24" spans="1:7" x14ac:dyDescent="0.25">
      <c r="A24" s="61" t="s">
        <v>230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f t="shared" si="2"/>
        <v>0</v>
      </c>
    </row>
    <row r="25" spans="1:7" x14ac:dyDescent="0.25">
      <c r="A25" s="61" t="s">
        <v>231</v>
      </c>
      <c r="B25" s="136">
        <v>6390851.7599999998</v>
      </c>
      <c r="C25" s="136">
        <v>0</v>
      </c>
      <c r="D25" s="136">
        <v>6390851.7599999998</v>
      </c>
      <c r="E25" s="136">
        <v>1899971.8</v>
      </c>
      <c r="F25" s="136">
        <v>1899971.8</v>
      </c>
      <c r="G25" s="136">
        <f t="shared" si="2"/>
        <v>-4490879.96</v>
      </c>
    </row>
    <row r="26" spans="1:7" x14ac:dyDescent="0.25">
      <c r="A26" s="61" t="s">
        <v>232</v>
      </c>
      <c r="B26" s="136">
        <v>21948392.16</v>
      </c>
      <c r="C26" s="136">
        <v>0</v>
      </c>
      <c r="D26" s="136">
        <v>21948392.16</v>
      </c>
      <c r="E26" s="136">
        <v>15302955</v>
      </c>
      <c r="F26" s="136">
        <v>15302955</v>
      </c>
      <c r="G26" s="136">
        <f t="shared" si="2"/>
        <v>-6645437.1600000001</v>
      </c>
    </row>
    <row r="27" spans="1:7" x14ac:dyDescent="0.25">
      <c r="A27" s="61" t="s">
        <v>233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 t="shared" si="2"/>
        <v>0</v>
      </c>
    </row>
    <row r="28" spans="1:7" x14ac:dyDescent="0.25">
      <c r="A28" s="51" t="s">
        <v>234</v>
      </c>
      <c r="B28" s="135">
        <f>SUM(B29:B33)</f>
        <v>3917440.8600000003</v>
      </c>
      <c r="C28" s="135">
        <f t="shared" ref="C28:G28" si="3">SUM(C29:C33)</f>
        <v>0</v>
      </c>
      <c r="D28" s="135">
        <f t="shared" si="3"/>
        <v>3917440.8600000003</v>
      </c>
      <c r="E28" s="135">
        <f t="shared" si="3"/>
        <v>2127934.4300000002</v>
      </c>
      <c r="F28" s="135">
        <f t="shared" si="3"/>
        <v>2127934.4300000002</v>
      </c>
      <c r="G28" s="135">
        <f t="shared" si="3"/>
        <v>-1789506.4299999997</v>
      </c>
    </row>
    <row r="29" spans="1:7" x14ac:dyDescent="0.25">
      <c r="A29" s="61" t="s">
        <v>235</v>
      </c>
      <c r="B29" s="136">
        <v>13580.24</v>
      </c>
      <c r="C29" s="136">
        <v>0</v>
      </c>
      <c r="D29" s="136">
        <v>13580.24</v>
      </c>
      <c r="E29" s="136">
        <v>14314.48</v>
      </c>
      <c r="F29" s="136">
        <v>14314.48</v>
      </c>
      <c r="G29" s="136">
        <f>F29-B29</f>
        <v>734.23999999999978</v>
      </c>
    </row>
    <row r="30" spans="1:7" x14ac:dyDescent="0.25">
      <c r="A30" s="61" t="s">
        <v>236</v>
      </c>
      <c r="B30" s="136">
        <v>479528.96000000002</v>
      </c>
      <c r="C30" s="136">
        <v>0</v>
      </c>
      <c r="D30" s="136">
        <v>479528.96000000002</v>
      </c>
      <c r="E30" s="136">
        <v>271156.62</v>
      </c>
      <c r="F30" s="136">
        <v>271156.62</v>
      </c>
      <c r="G30" s="136">
        <f>F30-B30</f>
        <v>-208372.34000000003</v>
      </c>
    </row>
    <row r="31" spans="1:7" x14ac:dyDescent="0.25">
      <c r="A31" s="61" t="s">
        <v>237</v>
      </c>
      <c r="B31" s="136">
        <v>2592108.86</v>
      </c>
      <c r="C31" s="136">
        <v>0</v>
      </c>
      <c r="D31" s="136">
        <v>2592108.86</v>
      </c>
      <c r="E31" s="136">
        <v>1212051.82</v>
      </c>
      <c r="F31" s="136">
        <v>1212051.82</v>
      </c>
      <c r="G31" s="136">
        <f t="shared" ref="G31:G34" si="4">F31-B31</f>
        <v>-1380057.0399999998</v>
      </c>
    </row>
    <row r="32" spans="1:7" x14ac:dyDescent="0.25">
      <c r="A32" s="61" t="s">
        <v>238</v>
      </c>
      <c r="B32" s="136">
        <v>0</v>
      </c>
      <c r="C32" s="136">
        <v>0</v>
      </c>
      <c r="D32" s="136">
        <v>0</v>
      </c>
      <c r="E32" s="136">
        <v>464672.34</v>
      </c>
      <c r="F32" s="136">
        <v>464672.34</v>
      </c>
      <c r="G32" s="136">
        <f t="shared" si="4"/>
        <v>464672.34</v>
      </c>
    </row>
    <row r="33" spans="1:8" x14ac:dyDescent="0.25">
      <c r="A33" s="61" t="s">
        <v>239</v>
      </c>
      <c r="B33" s="136">
        <v>832222.8</v>
      </c>
      <c r="C33" s="136">
        <v>0</v>
      </c>
      <c r="D33" s="136">
        <v>832222.8</v>
      </c>
      <c r="E33" s="136">
        <v>165739.17000000001</v>
      </c>
      <c r="F33" s="136">
        <v>165739.17000000001</v>
      </c>
      <c r="G33" s="136">
        <f t="shared" si="4"/>
        <v>-666483.63</v>
      </c>
    </row>
    <row r="34" spans="1:8" x14ac:dyDescent="0.25">
      <c r="A34" s="51" t="s">
        <v>240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f t="shared" si="4"/>
        <v>0</v>
      </c>
    </row>
    <row r="35" spans="1:8" x14ac:dyDescent="0.25">
      <c r="A35" s="51" t="s">
        <v>241</v>
      </c>
      <c r="B35" s="135">
        <f>B36</f>
        <v>0</v>
      </c>
      <c r="C35" s="135">
        <f t="shared" ref="C35:F35" si="5">C36</f>
        <v>0</v>
      </c>
      <c r="D35" s="135">
        <f t="shared" si="5"/>
        <v>0</v>
      </c>
      <c r="E35" s="135">
        <f t="shared" si="5"/>
        <v>412920</v>
      </c>
      <c r="F35" s="135">
        <f t="shared" si="5"/>
        <v>412920</v>
      </c>
      <c r="G35" s="135">
        <f>G36</f>
        <v>412920</v>
      </c>
    </row>
    <row r="36" spans="1:8" x14ac:dyDescent="0.25">
      <c r="A36" s="61" t="s">
        <v>242</v>
      </c>
      <c r="B36" s="136">
        <v>0</v>
      </c>
      <c r="C36" s="136">
        <v>0</v>
      </c>
      <c r="D36" s="136">
        <v>0</v>
      </c>
      <c r="E36" s="136">
        <v>412920</v>
      </c>
      <c r="F36" s="136">
        <v>412920</v>
      </c>
      <c r="G36" s="136">
        <f>F36-B36</f>
        <v>412920</v>
      </c>
    </row>
    <row r="37" spans="1:8" x14ac:dyDescent="0.25">
      <c r="A37" s="51" t="s">
        <v>243</v>
      </c>
      <c r="B37" s="135">
        <f>B38+B39</f>
        <v>0</v>
      </c>
      <c r="C37" s="135">
        <f t="shared" ref="C37:G37" si="6">C38+C39</f>
        <v>0</v>
      </c>
      <c r="D37" s="135">
        <f t="shared" si="6"/>
        <v>0</v>
      </c>
      <c r="E37" s="135">
        <f t="shared" si="6"/>
        <v>0</v>
      </c>
      <c r="F37" s="135">
        <f t="shared" si="6"/>
        <v>0</v>
      </c>
      <c r="G37" s="135">
        <f t="shared" si="6"/>
        <v>0</v>
      </c>
    </row>
    <row r="38" spans="1:8" x14ac:dyDescent="0.25">
      <c r="A38" s="61" t="s">
        <v>244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f>F38-B38</f>
        <v>0</v>
      </c>
    </row>
    <row r="39" spans="1:8" x14ac:dyDescent="0.25">
      <c r="A39" s="61" t="s">
        <v>245</v>
      </c>
      <c r="B39" s="136">
        <v>0</v>
      </c>
      <c r="C39" s="136">
        <v>0</v>
      </c>
      <c r="D39" s="136">
        <v>0</v>
      </c>
      <c r="E39" s="136">
        <v>0</v>
      </c>
      <c r="F39" s="136">
        <v>0</v>
      </c>
      <c r="G39" s="136">
        <f>F39-B39</f>
        <v>0</v>
      </c>
    </row>
    <row r="40" spans="1:8" ht="14.25" x14ac:dyDescent="0.45">
      <c r="A40" s="52"/>
      <c r="B40" s="58"/>
      <c r="C40" s="58"/>
      <c r="D40" s="58"/>
      <c r="E40" s="58"/>
      <c r="F40" s="58"/>
      <c r="G40" s="58"/>
    </row>
    <row r="41" spans="1:8" x14ac:dyDescent="0.25">
      <c r="A41" s="53" t="s">
        <v>276</v>
      </c>
      <c r="B41" s="135">
        <f>SUM(B9,B10,B11,B12,B13,B14,B15,B16,B28,B34,B35,B37)</f>
        <v>395832136.86000001</v>
      </c>
      <c r="C41" s="135">
        <f t="shared" ref="C41:E41" si="7">SUM(C9,C10,C11,C12,C13,C14,C15,C16,C28,C34,C35,C37)</f>
        <v>0</v>
      </c>
      <c r="D41" s="135">
        <f t="shared" si="7"/>
        <v>395832136.86000001</v>
      </c>
      <c r="E41" s="135">
        <f t="shared" si="7"/>
        <v>258854032.18000001</v>
      </c>
      <c r="F41" s="135">
        <f>SUM(F9,F10,F11,F12,F13,F14,F15,F16,F28,F34,F35,F37)</f>
        <v>258854032.18000001</v>
      </c>
      <c r="G41" s="135">
        <f>SUM(G9,G10,G11,G12,G13,G14,G15,G16,G28,G34,G35,G37)</f>
        <v>-136978104.68000001</v>
      </c>
    </row>
    <row r="42" spans="1:8" x14ac:dyDescent="0.25">
      <c r="A42" s="53" t="s">
        <v>246</v>
      </c>
      <c r="B42" s="115"/>
      <c r="C42" s="115"/>
      <c r="D42" s="115"/>
      <c r="E42" s="115"/>
      <c r="F42" s="115"/>
      <c r="G42" s="135">
        <f>IF(G41&gt;0,G41,0)</f>
        <v>0</v>
      </c>
      <c r="H42" s="8"/>
    </row>
    <row r="43" spans="1:8" ht="14.25" x14ac:dyDescent="0.45">
      <c r="A43" s="52"/>
      <c r="B43" s="52"/>
      <c r="C43" s="52"/>
      <c r="D43" s="52"/>
      <c r="E43" s="52"/>
      <c r="F43" s="52"/>
      <c r="G43" s="52"/>
    </row>
    <row r="44" spans="1:8" x14ac:dyDescent="0.25">
      <c r="A44" s="53" t="s">
        <v>247</v>
      </c>
      <c r="B44" s="52"/>
      <c r="C44" s="52"/>
      <c r="D44" s="52"/>
      <c r="E44" s="52"/>
      <c r="F44" s="52"/>
      <c r="G44" s="52"/>
    </row>
    <row r="45" spans="1:8" x14ac:dyDescent="0.25">
      <c r="A45" s="51" t="s">
        <v>248</v>
      </c>
      <c r="B45" s="135">
        <f>SUM(B46:B53)</f>
        <v>219068084.48000002</v>
      </c>
      <c r="C45" s="135">
        <f t="shared" ref="C45:G45" si="8">SUM(C46:C53)</f>
        <v>0</v>
      </c>
      <c r="D45" s="135">
        <f t="shared" si="8"/>
        <v>219068084.48000002</v>
      </c>
      <c r="E45" s="135">
        <f t="shared" si="8"/>
        <v>116958036</v>
      </c>
      <c r="F45" s="135">
        <f t="shared" si="8"/>
        <v>116958036</v>
      </c>
      <c r="G45" s="135">
        <f t="shared" si="8"/>
        <v>-102110048.48</v>
      </c>
    </row>
    <row r="46" spans="1:8" x14ac:dyDescent="0.25">
      <c r="A46" s="65" t="s">
        <v>249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f>F46-B46</f>
        <v>0</v>
      </c>
    </row>
    <row r="47" spans="1:8" x14ac:dyDescent="0.25">
      <c r="A47" s="65" t="s">
        <v>250</v>
      </c>
      <c r="B47" s="136">
        <v>0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ref="G47:G53" si="9">F47-B47</f>
        <v>0</v>
      </c>
    </row>
    <row r="48" spans="1:8" x14ac:dyDescent="0.25">
      <c r="A48" s="65" t="s">
        <v>251</v>
      </c>
      <c r="B48" s="136">
        <v>86289670.170000002</v>
      </c>
      <c r="C48" s="136">
        <v>0</v>
      </c>
      <c r="D48" s="136">
        <v>86289670.170000002</v>
      </c>
      <c r="E48" s="136">
        <v>50782920</v>
      </c>
      <c r="F48" s="136">
        <v>50782920</v>
      </c>
      <c r="G48" s="136">
        <f t="shared" si="9"/>
        <v>-35506750.170000002</v>
      </c>
    </row>
    <row r="49" spans="1:7" ht="30" x14ac:dyDescent="0.25">
      <c r="A49" s="65" t="s">
        <v>252</v>
      </c>
      <c r="B49" s="136">
        <v>132778414.31</v>
      </c>
      <c r="C49" s="136">
        <v>0</v>
      </c>
      <c r="D49" s="136">
        <v>132778414.31</v>
      </c>
      <c r="E49" s="136">
        <v>66175116</v>
      </c>
      <c r="F49" s="136">
        <v>66175116</v>
      </c>
      <c r="G49" s="136">
        <f t="shared" si="9"/>
        <v>-66603298.310000002</v>
      </c>
    </row>
    <row r="50" spans="1:7" x14ac:dyDescent="0.25">
      <c r="A50" s="65" t="s">
        <v>253</v>
      </c>
      <c r="B50" s="136">
        <v>0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si="9"/>
        <v>0</v>
      </c>
    </row>
    <row r="51" spans="1:7" x14ac:dyDescent="0.25">
      <c r="A51" s="65" t="s">
        <v>254</v>
      </c>
      <c r="B51" s="136">
        <v>0</v>
      </c>
      <c r="C51" s="136">
        <v>0</v>
      </c>
      <c r="D51" s="136">
        <v>0</v>
      </c>
      <c r="E51" s="136">
        <v>0</v>
      </c>
      <c r="F51" s="136">
        <v>0</v>
      </c>
      <c r="G51" s="136">
        <f t="shared" si="9"/>
        <v>0</v>
      </c>
    </row>
    <row r="52" spans="1:7" x14ac:dyDescent="0.25">
      <c r="A52" s="46" t="s">
        <v>255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f t="shared" si="9"/>
        <v>0</v>
      </c>
    </row>
    <row r="53" spans="1:7" x14ac:dyDescent="0.25">
      <c r="A53" s="61" t="s">
        <v>256</v>
      </c>
      <c r="B53" s="136">
        <v>0</v>
      </c>
      <c r="C53" s="136">
        <v>0</v>
      </c>
      <c r="D53" s="136">
        <v>0</v>
      </c>
      <c r="E53" s="136">
        <v>0</v>
      </c>
      <c r="F53" s="136">
        <v>0</v>
      </c>
      <c r="G53" s="136">
        <f t="shared" si="9"/>
        <v>0</v>
      </c>
    </row>
    <row r="54" spans="1:7" x14ac:dyDescent="0.25">
      <c r="A54" s="51" t="s">
        <v>257</v>
      </c>
      <c r="B54" s="135">
        <f>SUM(B55:B58)</f>
        <v>0</v>
      </c>
      <c r="C54" s="135">
        <f t="shared" ref="C54:G54" si="10">SUM(C55:C58)</f>
        <v>0</v>
      </c>
      <c r="D54" s="135">
        <f t="shared" si="10"/>
        <v>0</v>
      </c>
      <c r="E54" s="135">
        <f t="shared" si="10"/>
        <v>0</v>
      </c>
      <c r="F54" s="135">
        <f t="shared" si="10"/>
        <v>0</v>
      </c>
      <c r="G54" s="135">
        <f t="shared" si="10"/>
        <v>0</v>
      </c>
    </row>
    <row r="55" spans="1:7" x14ac:dyDescent="0.25">
      <c r="A55" s="46" t="s">
        <v>258</v>
      </c>
      <c r="B55" s="136">
        <v>0</v>
      </c>
      <c r="C55" s="136">
        <v>0</v>
      </c>
      <c r="D55" s="136">
        <v>0</v>
      </c>
      <c r="E55" s="136">
        <v>0</v>
      </c>
      <c r="F55" s="136">
        <v>0</v>
      </c>
      <c r="G55" s="136">
        <f>F55-B55</f>
        <v>0</v>
      </c>
    </row>
    <row r="56" spans="1:7" x14ac:dyDescent="0.25">
      <c r="A56" s="65" t="s">
        <v>259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f t="shared" ref="G56:G58" si="11">F56-B56</f>
        <v>0</v>
      </c>
    </row>
    <row r="57" spans="1:7" x14ac:dyDescent="0.25">
      <c r="A57" s="65" t="s">
        <v>260</v>
      </c>
      <c r="B57" s="136">
        <v>0</v>
      </c>
      <c r="C57" s="136">
        <v>0</v>
      </c>
      <c r="D57" s="136">
        <v>0</v>
      </c>
      <c r="E57" s="136">
        <v>0</v>
      </c>
      <c r="F57" s="136">
        <v>0</v>
      </c>
      <c r="G57" s="136">
        <f t="shared" si="11"/>
        <v>0</v>
      </c>
    </row>
    <row r="58" spans="1:7" x14ac:dyDescent="0.25">
      <c r="A58" s="46" t="s">
        <v>261</v>
      </c>
      <c r="B58" s="136">
        <v>0</v>
      </c>
      <c r="C58" s="136">
        <v>0</v>
      </c>
      <c r="D58" s="136">
        <v>0</v>
      </c>
      <c r="E58" s="136">
        <v>0</v>
      </c>
      <c r="F58" s="136">
        <v>0</v>
      </c>
      <c r="G58" s="136">
        <f t="shared" si="11"/>
        <v>0</v>
      </c>
    </row>
    <row r="59" spans="1:7" x14ac:dyDescent="0.25">
      <c r="A59" s="51" t="s">
        <v>262</v>
      </c>
      <c r="B59" s="135">
        <f>SUM(B60:B61)</f>
        <v>0</v>
      </c>
      <c r="C59" s="135">
        <f t="shared" ref="C59:G59" si="12">SUM(C60:C61)</f>
        <v>0</v>
      </c>
      <c r="D59" s="135">
        <f t="shared" si="12"/>
        <v>0</v>
      </c>
      <c r="E59" s="135">
        <f t="shared" si="12"/>
        <v>0</v>
      </c>
      <c r="F59" s="135">
        <f t="shared" si="12"/>
        <v>0</v>
      </c>
      <c r="G59" s="135">
        <f t="shared" si="12"/>
        <v>0</v>
      </c>
    </row>
    <row r="60" spans="1:7" x14ac:dyDescent="0.25">
      <c r="A60" s="65" t="s">
        <v>263</v>
      </c>
      <c r="B60" s="136">
        <v>0</v>
      </c>
      <c r="C60" s="136">
        <v>0</v>
      </c>
      <c r="D60" s="136">
        <v>0</v>
      </c>
      <c r="E60" s="136">
        <v>0</v>
      </c>
      <c r="F60" s="136">
        <v>0</v>
      </c>
      <c r="G60" s="136">
        <f>F60-B60</f>
        <v>0</v>
      </c>
    </row>
    <row r="61" spans="1:7" x14ac:dyDescent="0.25">
      <c r="A61" s="65" t="s">
        <v>264</v>
      </c>
      <c r="B61" s="136">
        <v>0</v>
      </c>
      <c r="C61" s="136">
        <v>0</v>
      </c>
      <c r="D61" s="136">
        <v>0</v>
      </c>
      <c r="E61" s="136">
        <v>0</v>
      </c>
      <c r="F61" s="136">
        <v>0</v>
      </c>
      <c r="G61" s="136">
        <f>F61-B61</f>
        <v>0</v>
      </c>
    </row>
    <row r="62" spans="1:7" x14ac:dyDescent="0.25">
      <c r="A62" s="51" t="s">
        <v>265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f>F62-B62</f>
        <v>0</v>
      </c>
    </row>
    <row r="63" spans="1:7" x14ac:dyDescent="0.25">
      <c r="A63" s="51" t="s">
        <v>266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f>F63-B63</f>
        <v>0</v>
      </c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3" t="s">
        <v>267</v>
      </c>
      <c r="B65" s="135">
        <f>B45+B54+B59+B62+B63</f>
        <v>219068084.48000002</v>
      </c>
      <c r="C65" s="135">
        <f t="shared" ref="C65:G65" si="13">C45+C54+C59+C62+C63</f>
        <v>0</v>
      </c>
      <c r="D65" s="135">
        <f t="shared" si="13"/>
        <v>219068084.48000002</v>
      </c>
      <c r="E65" s="135">
        <f t="shared" si="13"/>
        <v>116958036</v>
      </c>
      <c r="F65" s="135">
        <f t="shared" si="13"/>
        <v>116958036</v>
      </c>
      <c r="G65" s="135">
        <f t="shared" si="13"/>
        <v>-102110048.48</v>
      </c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3" t="s">
        <v>268</v>
      </c>
      <c r="B67" s="135">
        <f>B68</f>
        <v>0</v>
      </c>
      <c r="C67" s="135">
        <f t="shared" ref="C67:G67" si="14">C68</f>
        <v>0</v>
      </c>
      <c r="D67" s="135">
        <f t="shared" si="14"/>
        <v>0</v>
      </c>
      <c r="E67" s="135">
        <f t="shared" si="14"/>
        <v>0</v>
      </c>
      <c r="F67" s="135">
        <f t="shared" si="14"/>
        <v>0</v>
      </c>
      <c r="G67" s="135">
        <f t="shared" si="14"/>
        <v>0</v>
      </c>
    </row>
    <row r="68" spans="1:7" x14ac:dyDescent="0.25">
      <c r="A68" s="51" t="s">
        <v>269</v>
      </c>
      <c r="B68" s="136">
        <v>0</v>
      </c>
      <c r="C68" s="136">
        <v>0</v>
      </c>
      <c r="D68" s="136">
        <v>0</v>
      </c>
      <c r="E68" s="136">
        <v>0</v>
      </c>
      <c r="F68" s="136">
        <v>0</v>
      </c>
      <c r="G68" s="136">
        <f>F68-B68</f>
        <v>0</v>
      </c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3" t="s">
        <v>270</v>
      </c>
      <c r="B70" s="135">
        <f>B41+B65+B67</f>
        <v>614900221.34000003</v>
      </c>
      <c r="C70" s="135">
        <f t="shared" ref="C70:G70" si="15">C41+C65+C67</f>
        <v>0</v>
      </c>
      <c r="D70" s="135">
        <f t="shared" si="15"/>
        <v>614900221.34000003</v>
      </c>
      <c r="E70" s="135">
        <f t="shared" si="15"/>
        <v>375812068.18000001</v>
      </c>
      <c r="F70" s="135">
        <f t="shared" si="15"/>
        <v>375812068.18000001</v>
      </c>
      <c r="G70" s="135">
        <f t="shared" si="15"/>
        <v>-239088153.16000003</v>
      </c>
    </row>
    <row r="71" spans="1:7" x14ac:dyDescent="0.25">
      <c r="A71" s="52"/>
      <c r="B71" s="52"/>
      <c r="C71" s="52"/>
      <c r="D71" s="52"/>
      <c r="E71" s="52"/>
      <c r="F71" s="52"/>
      <c r="G71" s="52"/>
    </row>
    <row r="72" spans="1:7" x14ac:dyDescent="0.25">
      <c r="A72" s="53" t="s">
        <v>271</v>
      </c>
      <c r="B72" s="52"/>
      <c r="C72" s="52"/>
      <c r="D72" s="52"/>
      <c r="E72" s="52"/>
      <c r="F72" s="52"/>
      <c r="G72" s="52"/>
    </row>
    <row r="73" spans="1:7" x14ac:dyDescent="0.25">
      <c r="A73" s="116" t="s">
        <v>272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f>F73-B73</f>
        <v>0</v>
      </c>
    </row>
    <row r="74" spans="1:7" ht="30" x14ac:dyDescent="0.25">
      <c r="A74" s="116" t="s">
        <v>273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f>F74-B74</f>
        <v>0</v>
      </c>
    </row>
    <row r="75" spans="1:7" x14ac:dyDescent="0.25">
      <c r="A75" s="108" t="s">
        <v>274</v>
      </c>
      <c r="B75" s="135">
        <f>B73+B74</f>
        <v>0</v>
      </c>
      <c r="C75" s="135">
        <f t="shared" ref="C75:G75" si="16">C73+C74</f>
        <v>0</v>
      </c>
      <c r="D75" s="135">
        <f t="shared" si="16"/>
        <v>0</v>
      </c>
      <c r="E75" s="135">
        <f t="shared" si="16"/>
        <v>0</v>
      </c>
      <c r="F75" s="135">
        <f t="shared" si="16"/>
        <v>0</v>
      </c>
      <c r="G75" s="135">
        <f t="shared" si="16"/>
        <v>0</v>
      </c>
    </row>
    <row r="76" spans="1:7" x14ac:dyDescent="0.25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139111605.16</v>
      </c>
      <c r="Q3" s="18">
        <f>'Formato 5'!C9</f>
        <v>0</v>
      </c>
      <c r="R3" s="18">
        <f>'Formato 5'!D9</f>
        <v>139111605.16</v>
      </c>
      <c r="S3" s="18">
        <f>'Formato 5'!E9</f>
        <v>104970170.78</v>
      </c>
      <c r="T3" s="18">
        <f>'Formato 5'!F9</f>
        <v>104970170.78</v>
      </c>
      <c r="U3" s="18">
        <f>'Formato 5'!G9</f>
        <v>-34141434.379999995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37894.449999999997</v>
      </c>
      <c r="Q5" s="18">
        <f>'Formato 5'!C11</f>
        <v>0</v>
      </c>
      <c r="R5" s="18">
        <f>'Formato 5'!D11</f>
        <v>37894.449999999997</v>
      </c>
      <c r="S5" s="18">
        <f>'Formato 5'!E11</f>
        <v>0</v>
      </c>
      <c r="T5" s="18">
        <f>'Formato 5'!F11</f>
        <v>0</v>
      </c>
      <c r="U5" s="18">
        <f>'Formato 5'!G11</f>
        <v>-37894.449999999997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25820266.77</v>
      </c>
      <c r="Q6" s="18">
        <f>'Formato 5'!C12</f>
        <v>0</v>
      </c>
      <c r="R6" s="18">
        <f>'Formato 5'!D12</f>
        <v>25820266.77</v>
      </c>
      <c r="S6" s="18">
        <f>'Formato 5'!E12</f>
        <v>11391406.789999999</v>
      </c>
      <c r="T6" s="18">
        <f>'Formato 5'!F12</f>
        <v>11391406.789999999</v>
      </c>
      <c r="U6" s="18">
        <f>'Formato 5'!G12</f>
        <v>-14428859.98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4799742.55</v>
      </c>
      <c r="Q7" s="18">
        <f>'Formato 5'!C13</f>
        <v>0</v>
      </c>
      <c r="R7" s="18">
        <f>'Formato 5'!D13</f>
        <v>4799742.55</v>
      </c>
      <c r="S7" s="18">
        <f>'Formato 5'!E13</f>
        <v>5886799.5899999999</v>
      </c>
      <c r="T7" s="18">
        <f>'Formato 5'!F13</f>
        <v>5886799.5899999999</v>
      </c>
      <c r="U7" s="18">
        <f>'Formato 5'!G13</f>
        <v>1087057.04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7021760.8300000001</v>
      </c>
      <c r="Q8" s="18">
        <f>'Formato 5'!C14</f>
        <v>0</v>
      </c>
      <c r="R8" s="18">
        <f>'Formato 5'!D14</f>
        <v>7021760.8300000001</v>
      </c>
      <c r="S8" s="18">
        <f>'Formato 5'!E14</f>
        <v>2342591.7599999998</v>
      </c>
      <c r="T8" s="18">
        <f>'Formato 5'!F14</f>
        <v>2342591.7599999998</v>
      </c>
      <c r="U8" s="18">
        <f>'Formato 5'!G14</f>
        <v>-4679169.07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215123426.24000001</v>
      </c>
      <c r="Q10" s="18">
        <f>'Formato 5'!C16</f>
        <v>0</v>
      </c>
      <c r="R10" s="18">
        <f>'Formato 5'!D16</f>
        <v>215123426.24000001</v>
      </c>
      <c r="S10" s="18">
        <f>'Formato 5'!E16</f>
        <v>131722208.82999998</v>
      </c>
      <c r="T10" s="18">
        <f>'Formato 5'!F16</f>
        <v>131722208.82999998</v>
      </c>
      <c r="U10" s="18">
        <f>'Formato 5'!G16</f>
        <v>-83401217.409999996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148165983.90000001</v>
      </c>
      <c r="Q11" s="18">
        <f>'Formato 5'!C17</f>
        <v>0</v>
      </c>
      <c r="R11" s="18">
        <f>'Formato 5'!D17</f>
        <v>148165983.90000001</v>
      </c>
      <c r="S11" s="18">
        <f>'Formato 5'!E17</f>
        <v>83505400.709999993</v>
      </c>
      <c r="T11" s="18">
        <f>'Formato 5'!F17</f>
        <v>83505400.709999993</v>
      </c>
      <c r="U11" s="18">
        <f>'Formato 5'!G17</f>
        <v>-64660583.190000013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24771091.77</v>
      </c>
      <c r="Q12" s="18">
        <f>'Formato 5'!C18</f>
        <v>0</v>
      </c>
      <c r="R12" s="18">
        <f>'Formato 5'!D18</f>
        <v>24771091.77</v>
      </c>
      <c r="S12" s="18">
        <f>'Formato 5'!E18</f>
        <v>22751073.800000001</v>
      </c>
      <c r="T12" s="18">
        <f>'Formato 5'!F18</f>
        <v>22751073.800000001</v>
      </c>
      <c r="U12" s="18">
        <f>'Formato 5'!G18</f>
        <v>-2020017.9699999988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11133378.050000001</v>
      </c>
      <c r="Q13" s="18">
        <f>'Formato 5'!C19</f>
        <v>0</v>
      </c>
      <c r="R13" s="18">
        <f>'Formato 5'!D19</f>
        <v>11133378.050000001</v>
      </c>
      <c r="S13" s="18">
        <f>'Formato 5'!E19</f>
        <v>6857544.4500000002</v>
      </c>
      <c r="T13" s="18">
        <f>'Formato 5'!F19</f>
        <v>6857544.4500000002</v>
      </c>
      <c r="U13" s="18">
        <f>'Formato 5'!G19</f>
        <v>-4275833.6000000006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2713728.6</v>
      </c>
      <c r="Q16" s="18">
        <f>'Formato 5'!C22</f>
        <v>0</v>
      </c>
      <c r="R16" s="18">
        <f>'Formato 5'!D22</f>
        <v>2713728.6</v>
      </c>
      <c r="S16" s="18">
        <f>'Formato 5'!E22</f>
        <v>1405263.07</v>
      </c>
      <c r="T16" s="18">
        <f>'Formato 5'!F22</f>
        <v>1405263.07</v>
      </c>
      <c r="U16" s="18">
        <f>'Formato 5'!G22</f>
        <v>-1308465.53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6390851.7599999998</v>
      </c>
      <c r="Q19" s="18">
        <f>'Formato 5'!C25</f>
        <v>0</v>
      </c>
      <c r="R19" s="18">
        <f>'Formato 5'!D25</f>
        <v>6390851.7599999998</v>
      </c>
      <c r="S19" s="18">
        <f>'Formato 5'!E25</f>
        <v>1899971.8</v>
      </c>
      <c r="T19" s="18">
        <f>'Formato 5'!F25</f>
        <v>1899971.8</v>
      </c>
      <c r="U19" s="18">
        <f>'Formato 5'!G25</f>
        <v>-4490879.96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21948392.16</v>
      </c>
      <c r="Q20" s="18">
        <f>'Formato 5'!C26</f>
        <v>0</v>
      </c>
      <c r="R20" s="18">
        <f>'Formato 5'!D26</f>
        <v>21948392.16</v>
      </c>
      <c r="S20" s="18">
        <f>'Formato 5'!E26</f>
        <v>15302955</v>
      </c>
      <c r="T20" s="18">
        <f>'Formato 5'!F26</f>
        <v>15302955</v>
      </c>
      <c r="U20" s="18">
        <f>'Formato 5'!G26</f>
        <v>-6645437.1600000001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3917440.8600000003</v>
      </c>
      <c r="Q22" s="18">
        <f>'Formato 5'!C28</f>
        <v>0</v>
      </c>
      <c r="R22" s="18">
        <f>'Formato 5'!D28</f>
        <v>3917440.8600000003</v>
      </c>
      <c r="S22" s="18">
        <f>'Formato 5'!E28</f>
        <v>2127934.4300000002</v>
      </c>
      <c r="T22" s="18">
        <f>'Formato 5'!F28</f>
        <v>2127934.4300000002</v>
      </c>
      <c r="U22" s="18">
        <f>'Formato 5'!G28</f>
        <v>-1789506.4299999997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13580.24</v>
      </c>
      <c r="Q23" s="18">
        <f>'Formato 5'!C29</f>
        <v>0</v>
      </c>
      <c r="R23" s="18">
        <f>'Formato 5'!D29</f>
        <v>13580.24</v>
      </c>
      <c r="S23" s="18">
        <f>'Formato 5'!E29</f>
        <v>14314.48</v>
      </c>
      <c r="T23" s="18">
        <f>'Formato 5'!F29</f>
        <v>14314.48</v>
      </c>
      <c r="U23" s="18">
        <f>'Formato 5'!G29</f>
        <v>734.23999999999978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479528.96000000002</v>
      </c>
      <c r="Q24" s="18">
        <f>'Formato 5'!C30</f>
        <v>0</v>
      </c>
      <c r="R24" s="18">
        <f>'Formato 5'!D30</f>
        <v>479528.96000000002</v>
      </c>
      <c r="S24" s="18">
        <f>'Formato 5'!E30</f>
        <v>271156.62</v>
      </c>
      <c r="T24" s="18">
        <f>'Formato 5'!F30</f>
        <v>271156.62</v>
      </c>
      <c r="U24" s="18">
        <f>'Formato 5'!G30</f>
        <v>-208372.34000000003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2592108.86</v>
      </c>
      <c r="Q25" s="18">
        <f>'Formato 5'!C31</f>
        <v>0</v>
      </c>
      <c r="R25" s="18">
        <f>'Formato 5'!D31</f>
        <v>2592108.86</v>
      </c>
      <c r="S25" s="18">
        <f>'Formato 5'!E31</f>
        <v>1212051.82</v>
      </c>
      <c r="T25" s="18">
        <f>'Formato 5'!F31</f>
        <v>1212051.82</v>
      </c>
      <c r="U25" s="18">
        <f>'Formato 5'!G31</f>
        <v>-1380057.0399999998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464672.34</v>
      </c>
      <c r="T26" s="18">
        <f>'Formato 5'!F32</f>
        <v>464672.34</v>
      </c>
      <c r="U26" s="18">
        <f>'Formato 5'!G32</f>
        <v>464672.34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832222.8</v>
      </c>
      <c r="Q27" s="18">
        <f>'Formato 5'!C33</f>
        <v>0</v>
      </c>
      <c r="R27" s="18">
        <f>'Formato 5'!D33</f>
        <v>832222.8</v>
      </c>
      <c r="S27" s="18">
        <f>'Formato 5'!E33</f>
        <v>165739.17000000001</v>
      </c>
      <c r="T27" s="18">
        <f>'Formato 5'!F33</f>
        <v>165739.17000000001</v>
      </c>
      <c r="U27" s="18">
        <f>'Formato 5'!G33</f>
        <v>-666483.63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412920</v>
      </c>
      <c r="T29" s="18">
        <f>'Formato 5'!F35</f>
        <v>412920</v>
      </c>
      <c r="U29" s="18">
        <f>'Formato 5'!G35</f>
        <v>412920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412920</v>
      </c>
      <c r="T30" s="18">
        <f>'Formato 5'!F36</f>
        <v>412920</v>
      </c>
      <c r="U30" s="18">
        <f>'Formato 5'!G36</f>
        <v>412920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395832136.86000001</v>
      </c>
      <c r="Q34">
        <f>'Formato 5'!C41</f>
        <v>0</v>
      </c>
      <c r="R34">
        <f>'Formato 5'!D41</f>
        <v>395832136.86000001</v>
      </c>
      <c r="S34">
        <f>'Formato 5'!E41</f>
        <v>258854032.18000001</v>
      </c>
      <c r="T34">
        <f>'Formato 5'!F41</f>
        <v>258854032.18000001</v>
      </c>
      <c r="U34">
        <f>'Formato 5'!G41</f>
        <v>-136978104.68000001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219068084.48000002</v>
      </c>
      <c r="Q37">
        <f>'Formato 5'!C45</f>
        <v>0</v>
      </c>
      <c r="R37">
        <f>'Formato 5'!D45</f>
        <v>219068084.48000002</v>
      </c>
      <c r="S37">
        <f>'Formato 5'!E45</f>
        <v>116958036</v>
      </c>
      <c r="T37">
        <f>'Formato 5'!F45</f>
        <v>116958036</v>
      </c>
      <c r="U37">
        <f>'Formato 5'!G45</f>
        <v>-102110048.48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86289670.170000002</v>
      </c>
      <c r="Q40">
        <f>'Formato 5'!C48</f>
        <v>0</v>
      </c>
      <c r="R40">
        <f>'Formato 5'!D48</f>
        <v>86289670.170000002</v>
      </c>
      <c r="S40">
        <f>'Formato 5'!E48</f>
        <v>50782920</v>
      </c>
      <c r="T40">
        <f>'Formato 5'!F48</f>
        <v>50782920</v>
      </c>
      <c r="U40">
        <f>'Formato 5'!G48</f>
        <v>-35506750.170000002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132778414.31</v>
      </c>
      <c r="Q41">
        <f>'Formato 5'!C49</f>
        <v>0</v>
      </c>
      <c r="R41">
        <f>'Formato 5'!D49</f>
        <v>132778414.31</v>
      </c>
      <c r="S41">
        <f>'Formato 5'!E49</f>
        <v>66175116</v>
      </c>
      <c r="T41">
        <f>'Formato 5'!F49</f>
        <v>66175116</v>
      </c>
      <c r="U41">
        <f>'Formato 5'!G49</f>
        <v>-66603298.310000002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219068084.48000002</v>
      </c>
      <c r="Q56">
        <f>'Formato 5'!C65</f>
        <v>0</v>
      </c>
      <c r="R56">
        <f>'Formato 5'!D65</f>
        <v>219068084.48000002</v>
      </c>
      <c r="S56">
        <f>'Formato 5'!E65</f>
        <v>116958036</v>
      </c>
      <c r="T56">
        <f>'Formato 5'!F65</f>
        <v>116958036</v>
      </c>
      <c r="U56">
        <f>'Formato 5'!G65</f>
        <v>-102110048.48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19" zoomScale="90" zoomScaleNormal="90" zoomScalePageLayoutView="90" workbookViewId="0">
      <selection activeCell="F119" sqref="F11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1" t="s">
        <v>3277</v>
      </c>
      <c r="B1" s="160"/>
      <c r="C1" s="160"/>
      <c r="D1" s="160"/>
      <c r="E1" s="160"/>
      <c r="F1" s="160"/>
      <c r="G1" s="160"/>
    </row>
    <row r="2" spans="1:7" x14ac:dyDescent="0.25">
      <c r="A2" s="164" t="str">
        <f>ENTE_PUBLICO_A</f>
        <v>MUNICIPIO DE SILAO DE LA VICTORIA, Gobierno del Estado de Guanajuato (a)</v>
      </c>
      <c r="B2" s="164"/>
      <c r="C2" s="164"/>
      <c r="D2" s="164"/>
      <c r="E2" s="164"/>
      <c r="F2" s="164"/>
      <c r="G2" s="164"/>
    </row>
    <row r="3" spans="1:7" x14ac:dyDescent="0.25">
      <c r="A3" s="165" t="s">
        <v>277</v>
      </c>
      <c r="B3" s="165"/>
      <c r="C3" s="165"/>
      <c r="D3" s="165"/>
      <c r="E3" s="165"/>
      <c r="F3" s="165"/>
      <c r="G3" s="165"/>
    </row>
    <row r="4" spans="1:7" x14ac:dyDescent="0.25">
      <c r="A4" s="165" t="s">
        <v>278</v>
      </c>
      <c r="B4" s="165"/>
      <c r="C4" s="165"/>
      <c r="D4" s="165"/>
      <c r="E4" s="165"/>
      <c r="F4" s="165"/>
      <c r="G4" s="165"/>
    </row>
    <row r="5" spans="1:7" x14ac:dyDescent="0.25">
      <c r="A5" s="166" t="str">
        <f>TRIMESTRE</f>
        <v>Del 1 de enero al 30 de junio de 2021 (b)</v>
      </c>
      <c r="B5" s="166"/>
      <c r="C5" s="166"/>
      <c r="D5" s="166"/>
      <c r="E5" s="166"/>
      <c r="F5" s="166"/>
      <c r="G5" s="166"/>
    </row>
    <row r="6" spans="1:7" x14ac:dyDescent="0.25">
      <c r="A6" s="158" t="s">
        <v>118</v>
      </c>
      <c r="B6" s="158"/>
      <c r="C6" s="158"/>
      <c r="D6" s="158"/>
      <c r="E6" s="158"/>
      <c r="F6" s="158"/>
      <c r="G6" s="158"/>
    </row>
    <row r="7" spans="1:7" ht="15" customHeight="1" x14ac:dyDescent="0.25">
      <c r="A7" s="162" t="s">
        <v>0</v>
      </c>
      <c r="B7" s="162" t="s">
        <v>279</v>
      </c>
      <c r="C7" s="162"/>
      <c r="D7" s="162"/>
      <c r="E7" s="162"/>
      <c r="F7" s="162"/>
      <c r="G7" s="163" t="s">
        <v>280</v>
      </c>
    </row>
    <row r="8" spans="1:7" ht="30" x14ac:dyDescent="0.25">
      <c r="A8" s="162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162"/>
    </row>
    <row r="9" spans="1:7" x14ac:dyDescent="0.25">
      <c r="A9" s="71" t="s">
        <v>285</v>
      </c>
      <c r="B9" s="135">
        <f>SUM(B10,B18,B28,B38,B48,B58,B62,B71,B75)</f>
        <v>395832136.86000001</v>
      </c>
      <c r="C9" s="135">
        <f t="shared" ref="C9:G9" si="0">SUM(C10,C18,C28,C38,C48,C58,C62,C71,C75)</f>
        <v>0</v>
      </c>
      <c r="D9" s="135">
        <f t="shared" si="0"/>
        <v>395832136.86000001</v>
      </c>
      <c r="E9" s="135">
        <f t="shared" si="0"/>
        <v>179640601.14999998</v>
      </c>
      <c r="F9" s="135">
        <f t="shared" si="0"/>
        <v>160736271.88</v>
      </c>
      <c r="G9" s="135">
        <f t="shared" si="0"/>
        <v>216191535.70999998</v>
      </c>
    </row>
    <row r="10" spans="1:7" x14ac:dyDescent="0.25">
      <c r="A10" s="72" t="s">
        <v>286</v>
      </c>
      <c r="B10" s="135">
        <f>SUM(B11:B17)</f>
        <v>209163617.67999998</v>
      </c>
      <c r="C10" s="135">
        <f t="shared" ref="C10:F10" si="1">SUM(C11:C17)</f>
        <v>0</v>
      </c>
      <c r="D10" s="135">
        <f t="shared" si="1"/>
        <v>209163617.67999998</v>
      </c>
      <c r="E10" s="135">
        <f t="shared" si="1"/>
        <v>95359922.359999999</v>
      </c>
      <c r="F10" s="135">
        <f t="shared" si="1"/>
        <v>95359922.359999999</v>
      </c>
      <c r="G10" s="135">
        <f>SUM(G11:G17)</f>
        <v>113803695.31999999</v>
      </c>
    </row>
    <row r="11" spans="1:7" x14ac:dyDescent="0.25">
      <c r="A11" s="73" t="s">
        <v>287</v>
      </c>
      <c r="B11" s="136">
        <v>75015618</v>
      </c>
      <c r="C11" s="136">
        <v>0</v>
      </c>
      <c r="D11" s="136">
        <v>75015618</v>
      </c>
      <c r="E11" s="136">
        <v>27799518.98</v>
      </c>
      <c r="F11" s="136">
        <v>27799518.98</v>
      </c>
      <c r="G11" s="136">
        <f>D11-E11</f>
        <v>47216099.019999996</v>
      </c>
    </row>
    <row r="12" spans="1:7" x14ac:dyDescent="0.25">
      <c r="A12" s="73" t="s">
        <v>288</v>
      </c>
      <c r="B12" s="136">
        <v>52918983.289999999</v>
      </c>
      <c r="C12" s="136">
        <v>0</v>
      </c>
      <c r="D12" s="136">
        <v>52918983.289999999</v>
      </c>
      <c r="E12" s="136">
        <v>48698489.469999999</v>
      </c>
      <c r="F12" s="136">
        <v>48698489.469999999</v>
      </c>
      <c r="G12" s="136">
        <f>D12-E12</f>
        <v>4220493.82</v>
      </c>
    </row>
    <row r="13" spans="1:7" ht="14.25" customHeight="1" x14ac:dyDescent="0.25">
      <c r="A13" s="73" t="s">
        <v>289</v>
      </c>
      <c r="B13" s="136">
        <v>22276909.670000002</v>
      </c>
      <c r="C13" s="136">
        <v>0</v>
      </c>
      <c r="D13" s="136">
        <v>22276909.670000002</v>
      </c>
      <c r="E13" s="136">
        <v>3056289.14</v>
      </c>
      <c r="F13" s="136">
        <v>3056289.14</v>
      </c>
      <c r="G13" s="136">
        <f t="shared" ref="G13:G17" si="2">D13-E13</f>
        <v>19220620.530000001</v>
      </c>
    </row>
    <row r="14" spans="1:7" ht="14.25" customHeight="1" x14ac:dyDescent="0.25">
      <c r="A14" s="73" t="s">
        <v>290</v>
      </c>
      <c r="B14" s="136">
        <v>1051498.1499999999</v>
      </c>
      <c r="C14" s="136">
        <v>0</v>
      </c>
      <c r="D14" s="136">
        <v>1051498.1499999999</v>
      </c>
      <c r="E14" s="136">
        <v>476307.66</v>
      </c>
      <c r="F14" s="136">
        <v>476307.66</v>
      </c>
      <c r="G14" s="136">
        <f t="shared" si="2"/>
        <v>575190.49</v>
      </c>
    </row>
    <row r="15" spans="1:7" x14ac:dyDescent="0.25">
      <c r="A15" s="73" t="s">
        <v>291</v>
      </c>
      <c r="B15" s="136">
        <v>57900608.57</v>
      </c>
      <c r="C15" s="136">
        <v>0</v>
      </c>
      <c r="D15" s="136">
        <v>57900608.57</v>
      </c>
      <c r="E15" s="136">
        <v>15329317.109999999</v>
      </c>
      <c r="F15" s="136">
        <v>15329317.109999999</v>
      </c>
      <c r="G15" s="136">
        <f t="shared" si="2"/>
        <v>42571291.460000001</v>
      </c>
    </row>
    <row r="16" spans="1:7" x14ac:dyDescent="0.25">
      <c r="A16" s="73" t="s">
        <v>292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f t="shared" si="2"/>
        <v>0</v>
      </c>
    </row>
    <row r="17" spans="1:7" x14ac:dyDescent="0.25">
      <c r="A17" s="73" t="s">
        <v>293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f t="shared" si="2"/>
        <v>0</v>
      </c>
    </row>
    <row r="18" spans="1:7" x14ac:dyDescent="0.25">
      <c r="A18" s="72" t="s">
        <v>294</v>
      </c>
      <c r="B18" s="135">
        <f>SUM(B19:B27)</f>
        <v>44643451</v>
      </c>
      <c r="C18" s="135">
        <f t="shared" ref="C18:F18" si="3">SUM(C19:C27)</f>
        <v>0</v>
      </c>
      <c r="D18" s="135">
        <f t="shared" si="3"/>
        <v>44643451</v>
      </c>
      <c r="E18" s="135">
        <f t="shared" si="3"/>
        <v>19586868.369999997</v>
      </c>
      <c r="F18" s="135">
        <f t="shared" si="3"/>
        <v>10510251.829999998</v>
      </c>
      <c r="G18" s="135">
        <f>SUM(G19:G27)</f>
        <v>25056582.629999999</v>
      </c>
    </row>
    <row r="19" spans="1:7" x14ac:dyDescent="0.25">
      <c r="A19" s="73" t="s">
        <v>295</v>
      </c>
      <c r="B19" s="136">
        <v>5928001</v>
      </c>
      <c r="C19" s="136">
        <v>0</v>
      </c>
      <c r="D19" s="136">
        <v>5928001</v>
      </c>
      <c r="E19" s="136">
        <v>2647816.12</v>
      </c>
      <c r="F19" s="136">
        <v>1669320.21</v>
      </c>
      <c r="G19" s="136">
        <f>D19-E19</f>
        <v>3280184.88</v>
      </c>
    </row>
    <row r="20" spans="1:7" ht="14.25" customHeight="1" x14ac:dyDescent="0.25">
      <c r="A20" s="73" t="s">
        <v>296</v>
      </c>
      <c r="B20" s="136">
        <v>1871750</v>
      </c>
      <c r="C20" s="136">
        <v>0</v>
      </c>
      <c r="D20" s="136">
        <v>1871750</v>
      </c>
      <c r="E20" s="136">
        <v>762479.93</v>
      </c>
      <c r="F20" s="136">
        <v>720871.93</v>
      </c>
      <c r="G20" s="136">
        <f t="shared" ref="G20:G27" si="4">D20-E20</f>
        <v>1109270.0699999998</v>
      </c>
    </row>
    <row r="21" spans="1:7" x14ac:dyDescent="0.25">
      <c r="A21" s="73" t="s">
        <v>297</v>
      </c>
      <c r="B21" s="136">
        <v>80000</v>
      </c>
      <c r="C21" s="136">
        <v>0</v>
      </c>
      <c r="D21" s="136">
        <v>80000</v>
      </c>
      <c r="E21" s="136">
        <v>34290.36</v>
      </c>
      <c r="F21" s="136">
        <v>0</v>
      </c>
      <c r="G21" s="136">
        <f t="shared" si="4"/>
        <v>45709.64</v>
      </c>
    </row>
    <row r="22" spans="1:7" x14ac:dyDescent="0.25">
      <c r="A22" s="73" t="s">
        <v>298</v>
      </c>
      <c r="B22" s="136">
        <v>4154200</v>
      </c>
      <c r="C22" s="136">
        <v>0</v>
      </c>
      <c r="D22" s="136">
        <v>4154200</v>
      </c>
      <c r="E22" s="136">
        <v>1323747.28</v>
      </c>
      <c r="F22" s="136">
        <v>1115200.8600000001</v>
      </c>
      <c r="G22" s="136">
        <f t="shared" si="4"/>
        <v>2830452.7199999997</v>
      </c>
    </row>
    <row r="23" spans="1:7" x14ac:dyDescent="0.25">
      <c r="A23" s="73" t="s">
        <v>299</v>
      </c>
      <c r="B23" s="136">
        <v>21175500</v>
      </c>
      <c r="C23" s="136">
        <v>0</v>
      </c>
      <c r="D23" s="136">
        <v>21175500</v>
      </c>
      <c r="E23" s="136">
        <v>10615950.76</v>
      </c>
      <c r="F23" s="136">
        <v>2860664.02</v>
      </c>
      <c r="G23" s="136">
        <f t="shared" si="4"/>
        <v>10559549.24</v>
      </c>
    </row>
    <row r="24" spans="1:7" ht="14.25" customHeight="1" x14ac:dyDescent="0.25">
      <c r="A24" s="73" t="s">
        <v>300</v>
      </c>
      <c r="B24" s="136">
        <v>7003400</v>
      </c>
      <c r="C24" s="136">
        <v>0</v>
      </c>
      <c r="D24" s="136">
        <v>7003400</v>
      </c>
      <c r="E24" s="136">
        <v>3269779.11</v>
      </c>
      <c r="F24" s="136">
        <v>3258350.19</v>
      </c>
      <c r="G24" s="136">
        <f t="shared" si="4"/>
        <v>3733620.89</v>
      </c>
    </row>
    <row r="25" spans="1:7" x14ac:dyDescent="0.25">
      <c r="A25" s="73" t="s">
        <v>301</v>
      </c>
      <c r="B25" s="136">
        <v>1395600</v>
      </c>
      <c r="C25" s="136">
        <v>0</v>
      </c>
      <c r="D25" s="136">
        <v>1395600</v>
      </c>
      <c r="E25" s="136">
        <v>335968.99</v>
      </c>
      <c r="F25" s="136">
        <v>335631.43</v>
      </c>
      <c r="G25" s="136">
        <f t="shared" si="4"/>
        <v>1059631.01</v>
      </c>
    </row>
    <row r="26" spans="1:7" ht="14.25" customHeight="1" x14ac:dyDescent="0.25">
      <c r="A26" s="73" t="s">
        <v>302</v>
      </c>
      <c r="B26" s="136">
        <v>2350000</v>
      </c>
      <c r="C26" s="136">
        <v>0</v>
      </c>
      <c r="D26" s="136">
        <v>2350000</v>
      </c>
      <c r="E26" s="136">
        <v>475060</v>
      </c>
      <c r="F26" s="136">
        <v>475060</v>
      </c>
      <c r="G26" s="136">
        <f t="shared" si="4"/>
        <v>1874940</v>
      </c>
    </row>
    <row r="27" spans="1:7" ht="14.25" customHeight="1" x14ac:dyDescent="0.25">
      <c r="A27" s="73" t="s">
        <v>303</v>
      </c>
      <c r="B27" s="136">
        <v>685000</v>
      </c>
      <c r="C27" s="136">
        <v>0</v>
      </c>
      <c r="D27" s="136">
        <v>685000</v>
      </c>
      <c r="E27" s="136">
        <v>121775.82</v>
      </c>
      <c r="F27" s="136">
        <v>75153.19</v>
      </c>
      <c r="G27" s="136">
        <f t="shared" si="4"/>
        <v>563224.17999999993</v>
      </c>
    </row>
    <row r="28" spans="1:7" x14ac:dyDescent="0.25">
      <c r="A28" s="72" t="s">
        <v>304</v>
      </c>
      <c r="B28" s="135">
        <f>SUM(B29:B37)</f>
        <v>89748818.760000005</v>
      </c>
      <c r="C28" s="135">
        <f t="shared" ref="C28:G28" si="5">SUM(C29:C37)</f>
        <v>0</v>
      </c>
      <c r="D28" s="135">
        <f t="shared" si="5"/>
        <v>89748818.760000005</v>
      </c>
      <c r="E28" s="135">
        <f t="shared" si="5"/>
        <v>43320801.539999999</v>
      </c>
      <c r="F28" s="135">
        <f t="shared" si="5"/>
        <v>33860097.640000001</v>
      </c>
      <c r="G28" s="135">
        <f t="shared" si="5"/>
        <v>46428017.219999999</v>
      </c>
    </row>
    <row r="29" spans="1:7" x14ac:dyDescent="0.25">
      <c r="A29" s="73" t="s">
        <v>305</v>
      </c>
      <c r="B29" s="136">
        <v>14029200</v>
      </c>
      <c r="C29" s="136">
        <v>0</v>
      </c>
      <c r="D29" s="136">
        <v>14029200</v>
      </c>
      <c r="E29" s="136">
        <v>6978845.5700000003</v>
      </c>
      <c r="F29" s="136">
        <v>6535489.9800000004</v>
      </c>
      <c r="G29" s="136">
        <f>D29-E29</f>
        <v>7050354.4299999997</v>
      </c>
    </row>
    <row r="30" spans="1:7" x14ac:dyDescent="0.25">
      <c r="A30" s="73" t="s">
        <v>306</v>
      </c>
      <c r="B30" s="136">
        <v>7855062.4000000004</v>
      </c>
      <c r="C30" s="136">
        <v>0</v>
      </c>
      <c r="D30" s="136">
        <v>7855062.4000000004</v>
      </c>
      <c r="E30" s="136">
        <v>3740787.43</v>
      </c>
      <c r="F30" s="136">
        <v>3737350.33</v>
      </c>
      <c r="G30" s="136">
        <f t="shared" ref="G30:G37" si="6">D30-E30</f>
        <v>4114274.97</v>
      </c>
    </row>
    <row r="31" spans="1:7" x14ac:dyDescent="0.25">
      <c r="A31" s="73" t="s">
        <v>307</v>
      </c>
      <c r="B31" s="136">
        <v>6237000</v>
      </c>
      <c r="C31" s="136">
        <v>0</v>
      </c>
      <c r="D31" s="136">
        <v>6237000</v>
      </c>
      <c r="E31" s="136">
        <v>2930472.06</v>
      </c>
      <c r="F31" s="136">
        <v>2930472.06</v>
      </c>
      <c r="G31" s="136">
        <f t="shared" si="6"/>
        <v>3306527.94</v>
      </c>
    </row>
    <row r="32" spans="1:7" x14ac:dyDescent="0.25">
      <c r="A32" s="73" t="s">
        <v>308</v>
      </c>
      <c r="B32" s="136">
        <v>1200000</v>
      </c>
      <c r="C32" s="136">
        <v>0</v>
      </c>
      <c r="D32" s="136">
        <v>1200000</v>
      </c>
      <c r="E32" s="136">
        <v>881519.51</v>
      </c>
      <c r="F32" s="136">
        <v>249970.14</v>
      </c>
      <c r="G32" s="136">
        <f t="shared" si="6"/>
        <v>318480.49</v>
      </c>
    </row>
    <row r="33" spans="1:7" x14ac:dyDescent="0.25">
      <c r="A33" s="73" t="s">
        <v>309</v>
      </c>
      <c r="B33" s="136">
        <v>21659170.850000001</v>
      </c>
      <c r="C33" s="136">
        <v>0</v>
      </c>
      <c r="D33" s="136">
        <v>21659170.850000001</v>
      </c>
      <c r="E33" s="136">
        <v>10001302.58</v>
      </c>
      <c r="F33" s="136">
        <v>9856127.4199999999</v>
      </c>
      <c r="G33" s="136">
        <f t="shared" si="6"/>
        <v>11657868.270000001</v>
      </c>
    </row>
    <row r="34" spans="1:7" x14ac:dyDescent="0.25">
      <c r="A34" s="73" t="s">
        <v>310</v>
      </c>
      <c r="B34" s="136">
        <v>5660000</v>
      </c>
      <c r="C34" s="136">
        <v>0</v>
      </c>
      <c r="D34" s="136">
        <v>5660000</v>
      </c>
      <c r="E34" s="136">
        <v>839505.28</v>
      </c>
      <c r="F34" s="136">
        <v>794279.2</v>
      </c>
      <c r="G34" s="136">
        <f t="shared" si="6"/>
        <v>4820494.72</v>
      </c>
    </row>
    <row r="35" spans="1:7" x14ac:dyDescent="0.25">
      <c r="A35" s="73" t="s">
        <v>311</v>
      </c>
      <c r="B35" s="136">
        <v>659200</v>
      </c>
      <c r="C35" s="136">
        <v>0</v>
      </c>
      <c r="D35" s="136">
        <v>659200</v>
      </c>
      <c r="E35" s="136">
        <v>43567.34</v>
      </c>
      <c r="F35" s="136">
        <v>43567.34</v>
      </c>
      <c r="G35" s="136">
        <f t="shared" si="6"/>
        <v>615632.66</v>
      </c>
    </row>
    <row r="36" spans="1:7" x14ac:dyDescent="0.25">
      <c r="A36" s="73" t="s">
        <v>312</v>
      </c>
      <c r="B36" s="136">
        <v>5341000</v>
      </c>
      <c r="C36" s="136">
        <v>0</v>
      </c>
      <c r="D36" s="136">
        <v>5341000</v>
      </c>
      <c r="E36" s="136">
        <v>907861.41</v>
      </c>
      <c r="F36" s="136">
        <v>882389.63</v>
      </c>
      <c r="G36" s="136">
        <f t="shared" si="6"/>
        <v>4433138.59</v>
      </c>
    </row>
    <row r="37" spans="1:7" x14ac:dyDescent="0.25">
      <c r="A37" s="73" t="s">
        <v>313</v>
      </c>
      <c r="B37" s="136">
        <v>27108185.510000002</v>
      </c>
      <c r="C37" s="136">
        <v>0</v>
      </c>
      <c r="D37" s="136">
        <v>27108185.510000002</v>
      </c>
      <c r="E37" s="136">
        <v>16996940.359999999</v>
      </c>
      <c r="F37" s="136">
        <v>8830451.5399999991</v>
      </c>
      <c r="G37" s="136">
        <f t="shared" si="6"/>
        <v>10111245.150000002</v>
      </c>
    </row>
    <row r="38" spans="1:7" x14ac:dyDescent="0.25">
      <c r="A38" s="72" t="s">
        <v>314</v>
      </c>
      <c r="B38" s="135">
        <f>SUM(B39:B47)</f>
        <v>47981249.420000002</v>
      </c>
      <c r="C38" s="135">
        <f t="shared" ref="C38:G38" si="7">SUM(C39:C47)</f>
        <v>0</v>
      </c>
      <c r="D38" s="135">
        <f t="shared" si="7"/>
        <v>47981249.420000002</v>
      </c>
      <c r="E38" s="135">
        <f t="shared" si="7"/>
        <v>21373007.880000003</v>
      </c>
      <c r="F38" s="135">
        <f t="shared" si="7"/>
        <v>21005999.050000001</v>
      </c>
      <c r="G38" s="135">
        <f t="shared" si="7"/>
        <v>26608241.539999999</v>
      </c>
    </row>
    <row r="39" spans="1:7" x14ac:dyDescent="0.25">
      <c r="A39" s="73" t="s">
        <v>315</v>
      </c>
      <c r="B39" s="136">
        <v>26000000</v>
      </c>
      <c r="C39" s="136">
        <v>0</v>
      </c>
      <c r="D39" s="136">
        <v>26000000</v>
      </c>
      <c r="E39" s="136">
        <v>13313200</v>
      </c>
      <c r="F39" s="136">
        <v>13313200</v>
      </c>
      <c r="G39" s="136">
        <f>D39-E39</f>
        <v>12686800</v>
      </c>
    </row>
    <row r="40" spans="1:7" x14ac:dyDescent="0.25">
      <c r="A40" s="73" t="s">
        <v>316</v>
      </c>
      <c r="B40" s="136">
        <v>0</v>
      </c>
      <c r="C40" s="136">
        <v>0</v>
      </c>
      <c r="D40" s="136">
        <v>0</v>
      </c>
      <c r="E40" s="136">
        <v>0</v>
      </c>
      <c r="F40" s="136">
        <v>0</v>
      </c>
      <c r="G40" s="136">
        <f t="shared" ref="G40:G47" si="8">D40-E40</f>
        <v>0</v>
      </c>
    </row>
    <row r="41" spans="1:7" x14ac:dyDescent="0.25">
      <c r="A41" s="73" t="s">
        <v>317</v>
      </c>
      <c r="B41" s="136">
        <v>2000000</v>
      </c>
      <c r="C41" s="136">
        <v>0</v>
      </c>
      <c r="D41" s="136">
        <v>2000000</v>
      </c>
      <c r="E41" s="136">
        <v>2000000</v>
      </c>
      <c r="F41" s="136">
        <v>2000000</v>
      </c>
      <c r="G41" s="136">
        <f t="shared" si="8"/>
        <v>0</v>
      </c>
    </row>
    <row r="42" spans="1:7" x14ac:dyDescent="0.25">
      <c r="A42" s="73" t="s">
        <v>318</v>
      </c>
      <c r="B42" s="136">
        <v>10104000</v>
      </c>
      <c r="C42" s="136">
        <v>0</v>
      </c>
      <c r="D42" s="136">
        <v>10104000</v>
      </c>
      <c r="E42" s="136">
        <v>4202643.4400000004</v>
      </c>
      <c r="F42" s="136">
        <v>3835634.61</v>
      </c>
      <c r="G42" s="136">
        <f t="shared" si="8"/>
        <v>5901356.5599999996</v>
      </c>
    </row>
    <row r="43" spans="1:7" x14ac:dyDescent="0.25">
      <c r="A43" s="73" t="s">
        <v>319</v>
      </c>
      <c r="B43" s="136">
        <v>9877249.4199999999</v>
      </c>
      <c r="C43" s="136">
        <v>0</v>
      </c>
      <c r="D43" s="136">
        <v>9877249.4199999999</v>
      </c>
      <c r="E43" s="136">
        <v>1857164.44</v>
      </c>
      <c r="F43" s="136">
        <v>1857164.44</v>
      </c>
      <c r="G43" s="136">
        <f t="shared" si="8"/>
        <v>8020084.9800000004</v>
      </c>
    </row>
    <row r="44" spans="1:7" x14ac:dyDescent="0.25">
      <c r="A44" s="73" t="s">
        <v>320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f t="shared" si="8"/>
        <v>0</v>
      </c>
    </row>
    <row r="45" spans="1:7" x14ac:dyDescent="0.25">
      <c r="A45" s="73" t="s">
        <v>321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f t="shared" si="8"/>
        <v>0</v>
      </c>
    </row>
    <row r="46" spans="1:7" x14ac:dyDescent="0.25">
      <c r="A46" s="73" t="s">
        <v>322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f t="shared" si="8"/>
        <v>0</v>
      </c>
    </row>
    <row r="47" spans="1:7" x14ac:dyDescent="0.25">
      <c r="A47" s="73" t="s">
        <v>323</v>
      </c>
      <c r="B47" s="136">
        <v>0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si="8"/>
        <v>0</v>
      </c>
    </row>
    <row r="48" spans="1:7" x14ac:dyDescent="0.25">
      <c r="A48" s="72" t="s">
        <v>324</v>
      </c>
      <c r="B48" s="135">
        <f>SUM(B49:B57)</f>
        <v>445000</v>
      </c>
      <c r="C48" s="135">
        <f t="shared" ref="C48:G48" si="9">SUM(C49:C57)</f>
        <v>0</v>
      </c>
      <c r="D48" s="135">
        <f t="shared" si="9"/>
        <v>445000</v>
      </c>
      <c r="E48" s="135">
        <f t="shared" si="9"/>
        <v>0</v>
      </c>
      <c r="F48" s="135">
        <f t="shared" si="9"/>
        <v>0</v>
      </c>
      <c r="G48" s="135">
        <f t="shared" si="9"/>
        <v>445000</v>
      </c>
    </row>
    <row r="49" spans="1:7" x14ac:dyDescent="0.25">
      <c r="A49" s="73" t="s">
        <v>325</v>
      </c>
      <c r="B49" s="136">
        <v>245000</v>
      </c>
      <c r="C49" s="136">
        <v>0</v>
      </c>
      <c r="D49" s="136">
        <v>245000</v>
      </c>
      <c r="E49" s="136">
        <v>0</v>
      </c>
      <c r="F49" s="136">
        <v>0</v>
      </c>
      <c r="G49" s="136">
        <f>D49-E49</f>
        <v>245000</v>
      </c>
    </row>
    <row r="50" spans="1:7" x14ac:dyDescent="0.25">
      <c r="A50" s="73" t="s">
        <v>326</v>
      </c>
      <c r="B50" s="136">
        <v>0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ref="G50:G57" si="10">D50-E50</f>
        <v>0</v>
      </c>
    </row>
    <row r="51" spans="1:7" x14ac:dyDescent="0.25">
      <c r="A51" s="73" t="s">
        <v>327</v>
      </c>
      <c r="B51" s="136">
        <v>0</v>
      </c>
      <c r="C51" s="136">
        <v>0</v>
      </c>
      <c r="D51" s="136">
        <v>0</v>
      </c>
      <c r="E51" s="136">
        <v>0</v>
      </c>
      <c r="F51" s="136">
        <v>0</v>
      </c>
      <c r="G51" s="136">
        <f t="shared" si="10"/>
        <v>0</v>
      </c>
    </row>
    <row r="52" spans="1:7" x14ac:dyDescent="0.25">
      <c r="A52" s="73" t="s">
        <v>328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f t="shared" si="10"/>
        <v>0</v>
      </c>
    </row>
    <row r="53" spans="1:7" x14ac:dyDescent="0.25">
      <c r="A53" s="73" t="s">
        <v>329</v>
      </c>
      <c r="B53" s="136">
        <v>0</v>
      </c>
      <c r="C53" s="136">
        <v>0</v>
      </c>
      <c r="D53" s="136">
        <v>0</v>
      </c>
      <c r="E53" s="136">
        <v>0</v>
      </c>
      <c r="F53" s="136">
        <v>0</v>
      </c>
      <c r="G53" s="136">
        <f t="shared" si="10"/>
        <v>0</v>
      </c>
    </row>
    <row r="54" spans="1:7" x14ac:dyDescent="0.25">
      <c r="A54" s="73" t="s">
        <v>330</v>
      </c>
      <c r="B54" s="136">
        <v>150000</v>
      </c>
      <c r="C54" s="136">
        <v>0</v>
      </c>
      <c r="D54" s="136">
        <v>150000</v>
      </c>
      <c r="E54" s="136">
        <v>0</v>
      </c>
      <c r="F54" s="136">
        <v>0</v>
      </c>
      <c r="G54" s="136">
        <f t="shared" si="10"/>
        <v>150000</v>
      </c>
    </row>
    <row r="55" spans="1:7" x14ac:dyDescent="0.25">
      <c r="A55" s="73" t="s">
        <v>331</v>
      </c>
      <c r="B55" s="136">
        <v>0</v>
      </c>
      <c r="C55" s="136">
        <v>0</v>
      </c>
      <c r="D55" s="136">
        <v>0</v>
      </c>
      <c r="E55" s="136">
        <v>0</v>
      </c>
      <c r="F55" s="136">
        <v>0</v>
      </c>
      <c r="G55" s="136">
        <f t="shared" si="10"/>
        <v>0</v>
      </c>
    </row>
    <row r="56" spans="1:7" x14ac:dyDescent="0.25">
      <c r="A56" s="73" t="s">
        <v>332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f t="shared" si="10"/>
        <v>0</v>
      </c>
    </row>
    <row r="57" spans="1:7" x14ac:dyDescent="0.25">
      <c r="A57" s="73" t="s">
        <v>333</v>
      </c>
      <c r="B57" s="136">
        <v>50000</v>
      </c>
      <c r="C57" s="136">
        <v>0</v>
      </c>
      <c r="D57" s="136">
        <v>50000</v>
      </c>
      <c r="E57" s="136">
        <v>0</v>
      </c>
      <c r="F57" s="136">
        <v>0</v>
      </c>
      <c r="G57" s="136">
        <f t="shared" si="10"/>
        <v>50000</v>
      </c>
    </row>
    <row r="58" spans="1:7" x14ac:dyDescent="0.25">
      <c r="A58" s="72" t="s">
        <v>334</v>
      </c>
      <c r="B58" s="135">
        <f>SUM(B59:B61)</f>
        <v>2500000</v>
      </c>
      <c r="C58" s="135">
        <f t="shared" ref="C58:G58" si="11">SUM(C59:C61)</f>
        <v>0</v>
      </c>
      <c r="D58" s="135">
        <f t="shared" si="11"/>
        <v>2500000</v>
      </c>
      <c r="E58" s="135">
        <f t="shared" si="11"/>
        <v>0</v>
      </c>
      <c r="F58" s="135">
        <f t="shared" si="11"/>
        <v>0</v>
      </c>
      <c r="G58" s="135">
        <f t="shared" si="11"/>
        <v>2500000</v>
      </c>
    </row>
    <row r="59" spans="1:7" x14ac:dyDescent="0.25">
      <c r="A59" s="73" t="s">
        <v>335</v>
      </c>
      <c r="B59" s="136">
        <v>2500000</v>
      </c>
      <c r="C59" s="136">
        <v>0</v>
      </c>
      <c r="D59" s="136">
        <v>2500000</v>
      </c>
      <c r="E59" s="136">
        <v>0</v>
      </c>
      <c r="F59" s="136">
        <v>0</v>
      </c>
      <c r="G59" s="136">
        <f>D59-E59</f>
        <v>2500000</v>
      </c>
    </row>
    <row r="60" spans="1:7" x14ac:dyDescent="0.25">
      <c r="A60" s="73" t="s">
        <v>336</v>
      </c>
      <c r="B60" s="136">
        <v>0</v>
      </c>
      <c r="C60" s="136">
        <v>0</v>
      </c>
      <c r="D60" s="136">
        <v>0</v>
      </c>
      <c r="E60" s="136">
        <v>0</v>
      </c>
      <c r="F60" s="136">
        <v>0</v>
      </c>
      <c r="G60" s="136">
        <f t="shared" ref="G60:G61" si="12">D60-E60</f>
        <v>0</v>
      </c>
    </row>
    <row r="61" spans="1:7" x14ac:dyDescent="0.25">
      <c r="A61" s="73" t="s">
        <v>337</v>
      </c>
      <c r="B61" s="136">
        <v>0</v>
      </c>
      <c r="C61" s="136">
        <v>0</v>
      </c>
      <c r="D61" s="136">
        <v>0</v>
      </c>
      <c r="E61" s="136">
        <v>0</v>
      </c>
      <c r="F61" s="136">
        <v>0</v>
      </c>
      <c r="G61" s="136">
        <f t="shared" si="12"/>
        <v>0</v>
      </c>
    </row>
    <row r="62" spans="1:7" x14ac:dyDescent="0.25">
      <c r="A62" s="72" t="s">
        <v>338</v>
      </c>
      <c r="B62" s="135">
        <f>SUM(B63:B67,B69:B70)</f>
        <v>0</v>
      </c>
      <c r="C62" s="135">
        <f t="shared" ref="C62:G62" si="13">SUM(C63:C67,C69:C70)</f>
        <v>0</v>
      </c>
      <c r="D62" s="135">
        <f t="shared" si="13"/>
        <v>0</v>
      </c>
      <c r="E62" s="135">
        <f t="shared" si="13"/>
        <v>0</v>
      </c>
      <c r="F62" s="135">
        <f t="shared" si="13"/>
        <v>0</v>
      </c>
      <c r="G62" s="135">
        <f t="shared" si="13"/>
        <v>0</v>
      </c>
    </row>
    <row r="63" spans="1:7" x14ac:dyDescent="0.25">
      <c r="A63" s="73" t="s">
        <v>339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f>D63-E63</f>
        <v>0</v>
      </c>
    </row>
    <row r="64" spans="1:7" x14ac:dyDescent="0.25">
      <c r="A64" s="73" t="s">
        <v>340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f t="shared" ref="G64:G70" si="14">D64-E64</f>
        <v>0</v>
      </c>
    </row>
    <row r="65" spans="1:7" x14ac:dyDescent="0.25">
      <c r="A65" s="73" t="s">
        <v>341</v>
      </c>
      <c r="B65" s="136">
        <v>0</v>
      </c>
      <c r="C65" s="136">
        <v>0</v>
      </c>
      <c r="D65" s="136">
        <v>0</v>
      </c>
      <c r="E65" s="136">
        <v>0</v>
      </c>
      <c r="F65" s="136">
        <v>0</v>
      </c>
      <c r="G65" s="136">
        <f t="shared" si="14"/>
        <v>0</v>
      </c>
    </row>
    <row r="66" spans="1:7" x14ac:dyDescent="0.25">
      <c r="A66" s="73" t="s">
        <v>342</v>
      </c>
      <c r="B66" s="136">
        <v>0</v>
      </c>
      <c r="C66" s="136">
        <v>0</v>
      </c>
      <c r="D66" s="136">
        <v>0</v>
      </c>
      <c r="E66" s="136">
        <v>0</v>
      </c>
      <c r="F66" s="136">
        <v>0</v>
      </c>
      <c r="G66" s="136">
        <f t="shared" si="14"/>
        <v>0</v>
      </c>
    </row>
    <row r="67" spans="1:7" x14ac:dyDescent="0.25">
      <c r="A67" s="73" t="s">
        <v>343</v>
      </c>
      <c r="B67" s="136">
        <v>0</v>
      </c>
      <c r="C67" s="136">
        <v>0</v>
      </c>
      <c r="D67" s="136">
        <v>0</v>
      </c>
      <c r="E67" s="136">
        <v>0</v>
      </c>
      <c r="F67" s="136">
        <v>0</v>
      </c>
      <c r="G67" s="136">
        <f t="shared" si="14"/>
        <v>0</v>
      </c>
    </row>
    <row r="68" spans="1:7" x14ac:dyDescent="0.25">
      <c r="A68" s="73" t="s">
        <v>3293</v>
      </c>
      <c r="B68" s="136">
        <v>0</v>
      </c>
      <c r="C68" s="136">
        <v>0</v>
      </c>
      <c r="D68" s="136">
        <v>0</v>
      </c>
      <c r="E68" s="136">
        <v>0</v>
      </c>
      <c r="F68" s="136">
        <v>0</v>
      </c>
      <c r="G68" s="136">
        <f t="shared" si="14"/>
        <v>0</v>
      </c>
    </row>
    <row r="69" spans="1:7" x14ac:dyDescent="0.25">
      <c r="A69" s="73" t="s">
        <v>345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f t="shared" si="14"/>
        <v>0</v>
      </c>
    </row>
    <row r="70" spans="1:7" x14ac:dyDescent="0.25">
      <c r="A70" s="73" t="s">
        <v>346</v>
      </c>
      <c r="B70" s="136">
        <v>0</v>
      </c>
      <c r="C70" s="136">
        <v>0</v>
      </c>
      <c r="D70" s="136">
        <v>0</v>
      </c>
      <c r="E70" s="136">
        <v>0</v>
      </c>
      <c r="F70" s="136">
        <v>0</v>
      </c>
      <c r="G70" s="136">
        <f t="shared" si="14"/>
        <v>0</v>
      </c>
    </row>
    <row r="71" spans="1:7" x14ac:dyDescent="0.25">
      <c r="A71" s="72" t="s">
        <v>347</v>
      </c>
      <c r="B71" s="135">
        <f>SUM(B72:B74)</f>
        <v>1350000</v>
      </c>
      <c r="C71" s="135">
        <f t="shared" ref="C71:G71" si="15">SUM(C72:C74)</f>
        <v>0</v>
      </c>
      <c r="D71" s="135">
        <f t="shared" si="15"/>
        <v>1350000</v>
      </c>
      <c r="E71" s="135">
        <f t="shared" si="15"/>
        <v>1</v>
      </c>
      <c r="F71" s="135">
        <f t="shared" si="15"/>
        <v>1</v>
      </c>
      <c r="G71" s="135">
        <f t="shared" si="15"/>
        <v>1349999</v>
      </c>
    </row>
    <row r="72" spans="1:7" x14ac:dyDescent="0.25">
      <c r="A72" s="73" t="s">
        <v>348</v>
      </c>
      <c r="B72" s="136">
        <v>0</v>
      </c>
      <c r="C72" s="136">
        <v>0</v>
      </c>
      <c r="D72" s="136">
        <v>0</v>
      </c>
      <c r="E72" s="136">
        <v>0</v>
      </c>
      <c r="F72" s="136">
        <v>0</v>
      </c>
      <c r="G72" s="136">
        <f>D72-E72</f>
        <v>0</v>
      </c>
    </row>
    <row r="73" spans="1:7" x14ac:dyDescent="0.25">
      <c r="A73" s="73" t="s">
        <v>349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f t="shared" ref="G73:G74" si="16">D73-E73</f>
        <v>0</v>
      </c>
    </row>
    <row r="74" spans="1:7" x14ac:dyDescent="0.25">
      <c r="A74" s="73" t="s">
        <v>350</v>
      </c>
      <c r="B74" s="136">
        <v>1350000</v>
      </c>
      <c r="C74" s="136" t="s">
        <v>3297</v>
      </c>
      <c r="D74" s="136">
        <v>1350000</v>
      </c>
      <c r="E74" s="136">
        <v>1</v>
      </c>
      <c r="F74" s="136">
        <v>1</v>
      </c>
      <c r="G74" s="136">
        <f t="shared" si="16"/>
        <v>1349999</v>
      </c>
    </row>
    <row r="75" spans="1:7" x14ac:dyDescent="0.25">
      <c r="A75" s="72" t="s">
        <v>351</v>
      </c>
      <c r="B75" s="135">
        <f>SUM(B76:B82)</f>
        <v>0</v>
      </c>
      <c r="C75" s="135">
        <f t="shared" ref="C75:G75" si="17">SUM(C76:C82)</f>
        <v>0</v>
      </c>
      <c r="D75" s="135">
        <f t="shared" si="17"/>
        <v>0</v>
      </c>
      <c r="E75" s="135">
        <f t="shared" si="17"/>
        <v>0</v>
      </c>
      <c r="F75" s="135">
        <f t="shared" si="17"/>
        <v>0</v>
      </c>
      <c r="G75" s="135">
        <f t="shared" si="17"/>
        <v>0</v>
      </c>
    </row>
    <row r="76" spans="1:7" x14ac:dyDescent="0.25">
      <c r="A76" s="73" t="s">
        <v>352</v>
      </c>
      <c r="B76" s="136">
        <v>0</v>
      </c>
      <c r="C76" s="136">
        <v>0</v>
      </c>
      <c r="D76" s="136">
        <v>0</v>
      </c>
      <c r="E76" s="136">
        <v>0</v>
      </c>
      <c r="F76" s="136">
        <v>0</v>
      </c>
      <c r="G76" s="136">
        <f>D76-E76</f>
        <v>0</v>
      </c>
    </row>
    <row r="77" spans="1:7" x14ac:dyDescent="0.25">
      <c r="A77" s="73" t="s">
        <v>353</v>
      </c>
      <c r="B77" s="136">
        <v>0</v>
      </c>
      <c r="C77" s="136">
        <v>0</v>
      </c>
      <c r="D77" s="136">
        <v>0</v>
      </c>
      <c r="E77" s="136">
        <v>0</v>
      </c>
      <c r="F77" s="136">
        <v>0</v>
      </c>
      <c r="G77" s="136">
        <f t="shared" ref="G77:G82" si="18">D77-E77</f>
        <v>0</v>
      </c>
    </row>
    <row r="78" spans="1:7" x14ac:dyDescent="0.25">
      <c r="A78" s="73" t="s">
        <v>354</v>
      </c>
      <c r="B78" s="136">
        <v>0</v>
      </c>
      <c r="C78" s="136">
        <v>0</v>
      </c>
      <c r="D78" s="136">
        <v>0</v>
      </c>
      <c r="E78" s="136">
        <v>0</v>
      </c>
      <c r="F78" s="136">
        <v>0</v>
      </c>
      <c r="G78" s="136">
        <f t="shared" si="18"/>
        <v>0</v>
      </c>
    </row>
    <row r="79" spans="1:7" x14ac:dyDescent="0.25">
      <c r="A79" s="73" t="s">
        <v>355</v>
      </c>
      <c r="B79" s="136">
        <v>0</v>
      </c>
      <c r="C79" s="136">
        <v>0</v>
      </c>
      <c r="D79" s="136">
        <v>0</v>
      </c>
      <c r="E79" s="136">
        <v>0</v>
      </c>
      <c r="F79" s="136">
        <v>0</v>
      </c>
      <c r="G79" s="136">
        <f t="shared" si="18"/>
        <v>0</v>
      </c>
    </row>
    <row r="80" spans="1:7" x14ac:dyDescent="0.25">
      <c r="A80" s="73" t="s">
        <v>356</v>
      </c>
      <c r="B80" s="136">
        <v>0</v>
      </c>
      <c r="C80" s="136">
        <v>0</v>
      </c>
      <c r="D80" s="136">
        <v>0</v>
      </c>
      <c r="E80" s="136">
        <v>0</v>
      </c>
      <c r="F80" s="136">
        <v>0</v>
      </c>
      <c r="G80" s="136">
        <f t="shared" si="18"/>
        <v>0</v>
      </c>
    </row>
    <row r="81" spans="1:7" x14ac:dyDescent="0.25">
      <c r="A81" s="73" t="s">
        <v>357</v>
      </c>
      <c r="B81" s="136">
        <v>0</v>
      </c>
      <c r="C81" s="136">
        <v>0</v>
      </c>
      <c r="D81" s="136">
        <v>0</v>
      </c>
      <c r="E81" s="136">
        <v>0</v>
      </c>
      <c r="F81" s="136">
        <v>0</v>
      </c>
      <c r="G81" s="136">
        <f t="shared" si="18"/>
        <v>0</v>
      </c>
    </row>
    <row r="82" spans="1:7" x14ac:dyDescent="0.25">
      <c r="A82" s="73" t="s">
        <v>358</v>
      </c>
      <c r="B82" s="136">
        <v>0</v>
      </c>
      <c r="C82" s="136">
        <v>0</v>
      </c>
      <c r="D82" s="136">
        <v>0</v>
      </c>
      <c r="E82" s="136">
        <v>0</v>
      </c>
      <c r="F82" s="136">
        <v>0</v>
      </c>
      <c r="G82" s="136">
        <f t="shared" si="18"/>
        <v>0</v>
      </c>
    </row>
    <row r="83" spans="1:7" x14ac:dyDescent="0.25">
      <c r="A83" s="74"/>
      <c r="B83" s="70"/>
      <c r="C83" s="70"/>
      <c r="D83" s="70"/>
      <c r="E83" s="70"/>
      <c r="F83" s="70"/>
      <c r="G83" s="70"/>
    </row>
    <row r="84" spans="1:7" x14ac:dyDescent="0.25">
      <c r="A84" s="75" t="s">
        <v>359</v>
      </c>
      <c r="B84" s="135">
        <f>SUM(B85,B93,B103,B113,B123,B133,B137,B146,B150)</f>
        <v>219068084.47999999</v>
      </c>
      <c r="C84" s="135">
        <f t="shared" ref="C84:G84" si="19">SUM(C85,C93,C103,C113,C123,C133,C137,C146,C150)</f>
        <v>0</v>
      </c>
      <c r="D84" s="135">
        <f t="shared" si="19"/>
        <v>219068084.47999999</v>
      </c>
      <c r="E84" s="135">
        <f t="shared" si="19"/>
        <v>56613308.960000001</v>
      </c>
      <c r="F84" s="135">
        <f t="shared" si="19"/>
        <v>56596485.330000006</v>
      </c>
      <c r="G84" s="135">
        <f t="shared" si="19"/>
        <v>162454775.51999998</v>
      </c>
    </row>
    <row r="85" spans="1:7" x14ac:dyDescent="0.25">
      <c r="A85" s="72" t="s">
        <v>286</v>
      </c>
      <c r="B85" s="135">
        <f>SUM(B86:B92)</f>
        <v>111842713.19999999</v>
      </c>
      <c r="C85" s="135">
        <f t="shared" ref="C85:G85" si="20">SUM(C86:C92)</f>
        <v>0</v>
      </c>
      <c r="D85" s="135">
        <f t="shared" si="20"/>
        <v>111842713.19999999</v>
      </c>
      <c r="E85" s="135">
        <f t="shared" si="20"/>
        <v>42349311.480000004</v>
      </c>
      <c r="F85" s="135">
        <f t="shared" si="20"/>
        <v>42350813.700000003</v>
      </c>
      <c r="G85" s="135">
        <f t="shared" si="20"/>
        <v>69493401.719999984</v>
      </c>
    </row>
    <row r="86" spans="1:7" x14ac:dyDescent="0.25">
      <c r="A86" s="73" t="s">
        <v>287</v>
      </c>
      <c r="B86" s="136">
        <v>72734481.459999993</v>
      </c>
      <c r="C86" s="136">
        <v>0</v>
      </c>
      <c r="D86" s="136">
        <v>72734481.459999993</v>
      </c>
      <c r="E86" s="136">
        <v>29810716.760000002</v>
      </c>
      <c r="F86" s="136">
        <v>29810716.760000002</v>
      </c>
      <c r="G86" s="136">
        <f>D86-E86</f>
        <v>42923764.699999988</v>
      </c>
    </row>
    <row r="87" spans="1:7" x14ac:dyDescent="0.25">
      <c r="A87" s="73" t="s">
        <v>288</v>
      </c>
      <c r="B87" s="136">
        <v>9158654.8499999996</v>
      </c>
      <c r="C87" s="136">
        <v>0</v>
      </c>
      <c r="D87" s="136">
        <v>9158654.8499999996</v>
      </c>
      <c r="E87" s="136">
        <v>7832480.8200000003</v>
      </c>
      <c r="F87" s="136">
        <v>7832480.8200000003</v>
      </c>
      <c r="G87" s="136">
        <f t="shared" ref="G87:G92" si="21">D87-E87</f>
        <v>1326174.0299999993</v>
      </c>
    </row>
    <row r="88" spans="1:7" x14ac:dyDescent="0.25">
      <c r="A88" s="73" t="s">
        <v>289</v>
      </c>
      <c r="B88" s="136">
        <v>14508101.74</v>
      </c>
      <c r="C88" s="136">
        <v>0</v>
      </c>
      <c r="D88" s="136">
        <v>14508101.74</v>
      </c>
      <c r="E88" s="136">
        <v>809684.95</v>
      </c>
      <c r="F88" s="136">
        <v>811187.17</v>
      </c>
      <c r="G88" s="136">
        <f t="shared" si="21"/>
        <v>13698416.790000001</v>
      </c>
    </row>
    <row r="89" spans="1:7" x14ac:dyDescent="0.25">
      <c r="A89" s="73" t="s">
        <v>290</v>
      </c>
      <c r="B89" s="136">
        <v>1000000</v>
      </c>
      <c r="C89" s="136">
        <v>0</v>
      </c>
      <c r="D89" s="136">
        <v>1000000</v>
      </c>
      <c r="E89" s="136">
        <v>61180</v>
      </c>
      <c r="F89" s="136">
        <v>61180</v>
      </c>
      <c r="G89" s="136">
        <f t="shared" si="21"/>
        <v>938820</v>
      </c>
    </row>
    <row r="90" spans="1:7" x14ac:dyDescent="0.25">
      <c r="A90" s="73" t="s">
        <v>291</v>
      </c>
      <c r="B90" s="136">
        <v>14441475.15</v>
      </c>
      <c r="C90" s="136">
        <v>0</v>
      </c>
      <c r="D90" s="136">
        <v>14441475.15</v>
      </c>
      <c r="E90" s="136">
        <v>3835248.95</v>
      </c>
      <c r="F90" s="136">
        <v>3835248.95</v>
      </c>
      <c r="G90" s="136">
        <f t="shared" si="21"/>
        <v>10606226.199999999</v>
      </c>
    </row>
    <row r="91" spans="1:7" x14ac:dyDescent="0.25">
      <c r="A91" s="73" t="s">
        <v>292</v>
      </c>
      <c r="B91" s="136">
        <v>0</v>
      </c>
      <c r="C91" s="136">
        <v>0</v>
      </c>
      <c r="D91" s="136">
        <v>0</v>
      </c>
      <c r="E91" s="136">
        <v>0</v>
      </c>
      <c r="F91" s="136">
        <v>0</v>
      </c>
      <c r="G91" s="136">
        <f t="shared" si="21"/>
        <v>0</v>
      </c>
    </row>
    <row r="92" spans="1:7" x14ac:dyDescent="0.25">
      <c r="A92" s="73" t="s">
        <v>293</v>
      </c>
      <c r="B92" s="136">
        <v>0</v>
      </c>
      <c r="C92" s="136">
        <v>0</v>
      </c>
      <c r="D92" s="136">
        <v>0</v>
      </c>
      <c r="E92" s="136">
        <v>0</v>
      </c>
      <c r="F92" s="136">
        <v>0</v>
      </c>
      <c r="G92" s="136">
        <f t="shared" si="21"/>
        <v>0</v>
      </c>
    </row>
    <row r="93" spans="1:7" x14ac:dyDescent="0.25">
      <c r="A93" s="72" t="s">
        <v>294</v>
      </c>
      <c r="B93" s="135">
        <f>SUM(B94:B102)</f>
        <v>7680000</v>
      </c>
      <c r="C93" s="135">
        <f t="shared" ref="C93:G93" si="22">SUM(C94:C102)</f>
        <v>0</v>
      </c>
      <c r="D93" s="135">
        <f t="shared" si="22"/>
        <v>7680000</v>
      </c>
      <c r="E93" s="135">
        <f t="shared" si="22"/>
        <v>6723090.3300000001</v>
      </c>
      <c r="F93" s="135">
        <f t="shared" si="22"/>
        <v>6780071.6799999997</v>
      </c>
      <c r="G93" s="135">
        <f t="shared" si="22"/>
        <v>956909.66999999993</v>
      </c>
    </row>
    <row r="94" spans="1:7" x14ac:dyDescent="0.25">
      <c r="A94" s="73" t="s">
        <v>295</v>
      </c>
      <c r="B94" s="136">
        <v>0</v>
      </c>
      <c r="C94" s="136">
        <v>0</v>
      </c>
      <c r="D94" s="136">
        <v>0</v>
      </c>
      <c r="E94" s="136">
        <v>0</v>
      </c>
      <c r="F94" s="136">
        <v>0</v>
      </c>
      <c r="G94" s="136">
        <f>D94-E94</f>
        <v>0</v>
      </c>
    </row>
    <row r="95" spans="1:7" x14ac:dyDescent="0.25">
      <c r="A95" s="73" t="s">
        <v>296</v>
      </c>
      <c r="B95" s="136">
        <v>150000</v>
      </c>
      <c r="C95" s="136" t="s">
        <v>3297</v>
      </c>
      <c r="D95" s="136">
        <v>150000</v>
      </c>
      <c r="E95" s="136">
        <v>41412</v>
      </c>
      <c r="F95" s="136">
        <v>41412</v>
      </c>
      <c r="G95" s="136">
        <f t="shared" ref="G95:G102" si="23">D95-E95</f>
        <v>108588</v>
      </c>
    </row>
    <row r="96" spans="1:7" x14ac:dyDescent="0.25">
      <c r="A96" s="73" t="s">
        <v>297</v>
      </c>
      <c r="B96" s="136">
        <v>0</v>
      </c>
      <c r="C96" s="136">
        <v>0</v>
      </c>
      <c r="D96" s="136">
        <v>0</v>
      </c>
      <c r="E96" s="136">
        <v>0</v>
      </c>
      <c r="F96" s="136">
        <v>0</v>
      </c>
      <c r="G96" s="136">
        <f t="shared" si="23"/>
        <v>0</v>
      </c>
    </row>
    <row r="97" spans="1:7" x14ac:dyDescent="0.25">
      <c r="A97" s="73" t="s">
        <v>298</v>
      </c>
      <c r="B97" s="136">
        <v>1000000</v>
      </c>
      <c r="C97" s="136" t="s">
        <v>3297</v>
      </c>
      <c r="D97" s="136">
        <v>1000000</v>
      </c>
      <c r="E97" s="136">
        <v>784171.54</v>
      </c>
      <c r="F97" s="136">
        <v>931171.54</v>
      </c>
      <c r="G97" s="136">
        <f t="shared" si="23"/>
        <v>215828.45999999996</v>
      </c>
    </row>
    <row r="98" spans="1:7" x14ac:dyDescent="0.25">
      <c r="A98" s="40" t="s">
        <v>299</v>
      </c>
      <c r="B98" s="136">
        <v>0</v>
      </c>
      <c r="C98" s="136">
        <v>0</v>
      </c>
      <c r="D98" s="136">
        <v>0</v>
      </c>
      <c r="E98" s="136">
        <v>0</v>
      </c>
      <c r="F98" s="136">
        <v>0</v>
      </c>
      <c r="G98" s="136">
        <f t="shared" si="23"/>
        <v>0</v>
      </c>
    </row>
    <row r="99" spans="1:7" x14ac:dyDescent="0.25">
      <c r="A99" s="73" t="s">
        <v>300</v>
      </c>
      <c r="B99" s="136">
        <v>6080000</v>
      </c>
      <c r="C99" s="136" t="s">
        <v>3297</v>
      </c>
      <c r="D99" s="136">
        <v>6080000</v>
      </c>
      <c r="E99" s="136">
        <v>5569512.79</v>
      </c>
      <c r="F99" s="136">
        <v>5479494.1399999997</v>
      </c>
      <c r="G99" s="136">
        <f t="shared" si="23"/>
        <v>510487.20999999996</v>
      </c>
    </row>
    <row r="100" spans="1:7" x14ac:dyDescent="0.25">
      <c r="A100" s="73" t="s">
        <v>301</v>
      </c>
      <c r="B100" s="136">
        <v>0</v>
      </c>
      <c r="C100" s="136">
        <v>0</v>
      </c>
      <c r="D100" s="136">
        <v>0</v>
      </c>
      <c r="E100" s="136">
        <v>0</v>
      </c>
      <c r="F100" s="136">
        <v>0</v>
      </c>
      <c r="G100" s="136">
        <f>D100-E100</f>
        <v>0</v>
      </c>
    </row>
    <row r="101" spans="1:7" x14ac:dyDescent="0.25">
      <c r="A101" s="73" t="s">
        <v>302</v>
      </c>
      <c r="B101" s="136">
        <v>350000</v>
      </c>
      <c r="C101" s="136" t="s">
        <v>3297</v>
      </c>
      <c r="D101" s="136">
        <v>350000</v>
      </c>
      <c r="E101" s="136">
        <v>231250</v>
      </c>
      <c r="F101" s="136">
        <v>231250</v>
      </c>
      <c r="G101" s="136">
        <f t="shared" si="23"/>
        <v>118750</v>
      </c>
    </row>
    <row r="102" spans="1:7" x14ac:dyDescent="0.25">
      <c r="A102" s="73" t="s">
        <v>303</v>
      </c>
      <c r="B102" s="136">
        <v>100000</v>
      </c>
      <c r="C102" s="136" t="s">
        <v>3297</v>
      </c>
      <c r="D102" s="136">
        <v>100000</v>
      </c>
      <c r="E102" s="136">
        <v>96744</v>
      </c>
      <c r="F102" s="136">
        <v>96744</v>
      </c>
      <c r="G102" s="136">
        <f t="shared" si="23"/>
        <v>3256</v>
      </c>
    </row>
    <row r="103" spans="1:7" x14ac:dyDescent="0.25">
      <c r="A103" s="72" t="s">
        <v>304</v>
      </c>
      <c r="B103" s="135">
        <f>SUM(B104:B112)</f>
        <v>8511701.1099999994</v>
      </c>
      <c r="C103" s="135">
        <f>SUM(C104:C112)</f>
        <v>0</v>
      </c>
      <c r="D103" s="135">
        <f t="shared" ref="D103:G103" si="24">SUM(D104:D112)</f>
        <v>8511701.1099999994</v>
      </c>
      <c r="E103" s="135">
        <f t="shared" si="24"/>
        <v>5342726.9000000004</v>
      </c>
      <c r="F103" s="135">
        <f t="shared" si="24"/>
        <v>5267419.7</v>
      </c>
      <c r="G103" s="135">
        <f t="shared" si="24"/>
        <v>3168974.2099999995</v>
      </c>
    </row>
    <row r="104" spans="1:7" x14ac:dyDescent="0.25">
      <c r="A104" s="73" t="s">
        <v>305</v>
      </c>
      <c r="B104" s="136">
        <v>0</v>
      </c>
      <c r="C104" s="136">
        <v>0</v>
      </c>
      <c r="D104" s="136">
        <v>0</v>
      </c>
      <c r="E104" s="136">
        <v>0</v>
      </c>
      <c r="F104" s="136">
        <v>0</v>
      </c>
      <c r="G104" s="136">
        <f t="shared" ref="G104:G112" si="25">D104-E104</f>
        <v>0</v>
      </c>
    </row>
    <row r="105" spans="1:7" x14ac:dyDescent="0.25">
      <c r="A105" s="73" t="s">
        <v>306</v>
      </c>
      <c r="B105" s="136">
        <v>0</v>
      </c>
      <c r="C105" s="136">
        <v>0</v>
      </c>
      <c r="D105" s="136">
        <v>0</v>
      </c>
      <c r="E105" s="136">
        <v>0</v>
      </c>
      <c r="F105" s="136">
        <v>0</v>
      </c>
      <c r="G105" s="136">
        <f t="shared" si="25"/>
        <v>0</v>
      </c>
    </row>
    <row r="106" spans="1:7" x14ac:dyDescent="0.25">
      <c r="A106" s="73" t="s">
        <v>307</v>
      </c>
      <c r="B106" s="136">
        <v>0</v>
      </c>
      <c r="C106" s="136">
        <v>0</v>
      </c>
      <c r="D106" s="136">
        <v>0</v>
      </c>
      <c r="E106" s="136">
        <v>0</v>
      </c>
      <c r="F106" s="136">
        <v>0</v>
      </c>
      <c r="G106" s="136">
        <f t="shared" si="25"/>
        <v>0</v>
      </c>
    </row>
    <row r="107" spans="1:7" x14ac:dyDescent="0.25">
      <c r="A107" s="73" t="s">
        <v>308</v>
      </c>
      <c r="B107" s="136">
        <v>1000000</v>
      </c>
      <c r="C107" s="136" t="s">
        <v>3297</v>
      </c>
      <c r="D107" s="136">
        <v>1000000</v>
      </c>
      <c r="E107" s="136">
        <v>0</v>
      </c>
      <c r="F107" s="136">
        <v>0</v>
      </c>
      <c r="G107" s="136">
        <f t="shared" si="25"/>
        <v>1000000</v>
      </c>
    </row>
    <row r="108" spans="1:7" x14ac:dyDescent="0.25">
      <c r="A108" s="73" t="s">
        <v>309</v>
      </c>
      <c r="B108" s="136">
        <v>4465000</v>
      </c>
      <c r="C108" s="136" t="s">
        <v>3297</v>
      </c>
      <c r="D108" s="136">
        <v>4465000</v>
      </c>
      <c r="E108" s="136">
        <v>4308243.9000000004</v>
      </c>
      <c r="F108" s="136">
        <v>4232936.7</v>
      </c>
      <c r="G108" s="136">
        <f t="shared" si="25"/>
        <v>156756.09999999963</v>
      </c>
    </row>
    <row r="109" spans="1:7" x14ac:dyDescent="0.25">
      <c r="A109" s="73" t="s">
        <v>310</v>
      </c>
      <c r="B109" s="136">
        <v>0</v>
      </c>
      <c r="C109" s="136">
        <v>0</v>
      </c>
      <c r="D109" s="136">
        <v>0</v>
      </c>
      <c r="E109" s="136">
        <v>0</v>
      </c>
      <c r="F109" s="136">
        <v>0</v>
      </c>
      <c r="G109" s="136">
        <f t="shared" si="25"/>
        <v>0</v>
      </c>
    </row>
    <row r="110" spans="1:7" x14ac:dyDescent="0.25">
      <c r="A110" s="73" t="s">
        <v>311</v>
      </c>
      <c r="B110" s="136">
        <v>0</v>
      </c>
      <c r="C110" s="136">
        <v>0</v>
      </c>
      <c r="D110" s="136">
        <v>0</v>
      </c>
      <c r="E110" s="136">
        <v>0</v>
      </c>
      <c r="F110" s="136">
        <v>0</v>
      </c>
      <c r="G110" s="136">
        <f t="shared" si="25"/>
        <v>0</v>
      </c>
    </row>
    <row r="111" spans="1:7" x14ac:dyDescent="0.25">
      <c r="A111" s="73" t="s">
        <v>312</v>
      </c>
      <c r="B111" s="136">
        <v>0</v>
      </c>
      <c r="C111" s="136">
        <v>0</v>
      </c>
      <c r="D111" s="136">
        <v>0</v>
      </c>
      <c r="E111" s="136">
        <v>0</v>
      </c>
      <c r="F111" s="136">
        <v>0</v>
      </c>
      <c r="G111" s="136">
        <f t="shared" si="25"/>
        <v>0</v>
      </c>
    </row>
    <row r="112" spans="1:7" x14ac:dyDescent="0.25">
      <c r="A112" s="73" t="s">
        <v>313</v>
      </c>
      <c r="B112" s="136">
        <v>3046701.11</v>
      </c>
      <c r="C112" s="136" t="s">
        <v>3297</v>
      </c>
      <c r="D112" s="136">
        <v>3046701.11</v>
      </c>
      <c r="E112" s="136">
        <v>1034483</v>
      </c>
      <c r="F112" s="136">
        <v>1034483</v>
      </c>
      <c r="G112" s="136">
        <f t="shared" si="25"/>
        <v>2012218.1099999999</v>
      </c>
    </row>
    <row r="113" spans="1:7" x14ac:dyDescent="0.25">
      <c r="A113" s="72" t="s">
        <v>314</v>
      </c>
      <c r="B113" s="135">
        <f>SUM(B114:B122)</f>
        <v>0</v>
      </c>
      <c r="C113" s="135">
        <f t="shared" ref="C113:G113" si="26">SUM(C114:C122)</f>
        <v>0</v>
      </c>
      <c r="D113" s="135">
        <f t="shared" si="26"/>
        <v>0</v>
      </c>
      <c r="E113" s="135">
        <f t="shared" si="26"/>
        <v>0</v>
      </c>
      <c r="F113" s="135">
        <f t="shared" si="26"/>
        <v>0</v>
      </c>
      <c r="G113" s="135">
        <f t="shared" si="26"/>
        <v>0</v>
      </c>
    </row>
    <row r="114" spans="1:7" x14ac:dyDescent="0.25">
      <c r="A114" s="73" t="s">
        <v>315</v>
      </c>
      <c r="B114" s="136">
        <v>0</v>
      </c>
      <c r="C114" s="136">
        <v>0</v>
      </c>
      <c r="D114" s="136">
        <v>0</v>
      </c>
      <c r="E114" s="136">
        <v>0</v>
      </c>
      <c r="F114" s="136">
        <v>0</v>
      </c>
      <c r="G114" s="136">
        <f t="shared" ref="G114:G122" si="27">D114-E114</f>
        <v>0</v>
      </c>
    </row>
    <row r="115" spans="1:7" x14ac:dyDescent="0.25">
      <c r="A115" s="73" t="s">
        <v>316</v>
      </c>
      <c r="B115" s="136">
        <v>0</v>
      </c>
      <c r="C115" s="136">
        <v>0</v>
      </c>
      <c r="D115" s="136">
        <v>0</v>
      </c>
      <c r="E115" s="136">
        <v>0</v>
      </c>
      <c r="F115" s="136">
        <v>0</v>
      </c>
      <c r="G115" s="136">
        <f t="shared" si="27"/>
        <v>0</v>
      </c>
    </row>
    <row r="116" spans="1:7" x14ac:dyDescent="0.25">
      <c r="A116" s="73" t="s">
        <v>317</v>
      </c>
      <c r="B116" s="136">
        <v>0</v>
      </c>
      <c r="C116" s="136">
        <v>0</v>
      </c>
      <c r="D116" s="136">
        <v>0</v>
      </c>
      <c r="E116" s="136">
        <v>0</v>
      </c>
      <c r="F116" s="136">
        <v>0</v>
      </c>
      <c r="G116" s="136">
        <f t="shared" si="27"/>
        <v>0</v>
      </c>
    </row>
    <row r="117" spans="1:7" x14ac:dyDescent="0.25">
      <c r="A117" s="73" t="s">
        <v>318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f t="shared" si="27"/>
        <v>0</v>
      </c>
    </row>
    <row r="118" spans="1:7" x14ac:dyDescent="0.25">
      <c r="A118" s="73" t="s">
        <v>319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f t="shared" si="27"/>
        <v>0</v>
      </c>
    </row>
    <row r="119" spans="1:7" x14ac:dyDescent="0.25">
      <c r="A119" s="73" t="s">
        <v>320</v>
      </c>
      <c r="B119" s="136">
        <v>0</v>
      </c>
      <c r="C119" s="136">
        <v>0</v>
      </c>
      <c r="D119" s="136">
        <v>0</v>
      </c>
      <c r="E119" s="136">
        <v>0</v>
      </c>
      <c r="F119" s="136">
        <v>0</v>
      </c>
      <c r="G119" s="136">
        <f t="shared" si="27"/>
        <v>0</v>
      </c>
    </row>
    <row r="120" spans="1:7" x14ac:dyDescent="0.25">
      <c r="A120" s="73" t="s">
        <v>321</v>
      </c>
      <c r="B120" s="136">
        <v>0</v>
      </c>
      <c r="C120" s="136">
        <v>0</v>
      </c>
      <c r="D120" s="136">
        <v>0</v>
      </c>
      <c r="E120" s="136">
        <v>0</v>
      </c>
      <c r="F120" s="136">
        <v>0</v>
      </c>
      <c r="G120" s="136">
        <f t="shared" si="27"/>
        <v>0</v>
      </c>
    </row>
    <row r="121" spans="1:7" x14ac:dyDescent="0.25">
      <c r="A121" s="73" t="s">
        <v>322</v>
      </c>
      <c r="B121" s="136">
        <v>0</v>
      </c>
      <c r="C121" s="136">
        <v>0</v>
      </c>
      <c r="D121" s="136">
        <v>0</v>
      </c>
      <c r="E121" s="136">
        <v>0</v>
      </c>
      <c r="F121" s="136">
        <v>0</v>
      </c>
      <c r="G121" s="136">
        <f t="shared" si="27"/>
        <v>0</v>
      </c>
    </row>
    <row r="122" spans="1:7" x14ac:dyDescent="0.25">
      <c r="A122" s="73" t="s">
        <v>323</v>
      </c>
      <c r="B122" s="136">
        <v>0</v>
      </c>
      <c r="C122" s="136">
        <v>0</v>
      </c>
      <c r="D122" s="136">
        <v>0</v>
      </c>
      <c r="E122" s="136">
        <v>0</v>
      </c>
      <c r="F122" s="136">
        <v>0</v>
      </c>
      <c r="G122" s="136">
        <f t="shared" si="27"/>
        <v>0</v>
      </c>
    </row>
    <row r="123" spans="1:7" x14ac:dyDescent="0.25">
      <c r="A123" s="72" t="s">
        <v>324</v>
      </c>
      <c r="B123" s="135">
        <f>SUM(B124:B132)</f>
        <v>0</v>
      </c>
      <c r="C123" s="135">
        <f t="shared" ref="C123:G123" si="28">SUM(C124:C132)</f>
        <v>0</v>
      </c>
      <c r="D123" s="135">
        <f t="shared" si="28"/>
        <v>0</v>
      </c>
      <c r="E123" s="135">
        <f t="shared" si="28"/>
        <v>0</v>
      </c>
      <c r="F123" s="135">
        <f t="shared" si="28"/>
        <v>0</v>
      </c>
      <c r="G123" s="135">
        <f t="shared" si="28"/>
        <v>0</v>
      </c>
    </row>
    <row r="124" spans="1:7" x14ac:dyDescent="0.25">
      <c r="A124" s="73" t="s">
        <v>325</v>
      </c>
      <c r="B124" s="136">
        <v>0</v>
      </c>
      <c r="C124" s="136">
        <v>0</v>
      </c>
      <c r="D124" s="136">
        <v>0</v>
      </c>
      <c r="E124" s="136">
        <v>0</v>
      </c>
      <c r="F124" s="136">
        <v>0</v>
      </c>
      <c r="G124" s="136">
        <f t="shared" ref="G124:G132" si="29">D124-E124</f>
        <v>0</v>
      </c>
    </row>
    <row r="125" spans="1:7" x14ac:dyDescent="0.25">
      <c r="A125" s="73" t="s">
        <v>326</v>
      </c>
      <c r="B125" s="136">
        <v>0</v>
      </c>
      <c r="C125" s="136">
        <v>0</v>
      </c>
      <c r="D125" s="136">
        <v>0</v>
      </c>
      <c r="E125" s="136">
        <v>0</v>
      </c>
      <c r="F125" s="136">
        <v>0</v>
      </c>
      <c r="G125" s="136">
        <f t="shared" si="29"/>
        <v>0</v>
      </c>
    </row>
    <row r="126" spans="1:7" x14ac:dyDescent="0.25">
      <c r="A126" s="73" t="s">
        <v>327</v>
      </c>
      <c r="B126" s="136">
        <v>0</v>
      </c>
      <c r="C126" s="136">
        <v>0</v>
      </c>
      <c r="D126" s="136">
        <v>0</v>
      </c>
      <c r="E126" s="136">
        <v>0</v>
      </c>
      <c r="F126" s="136">
        <v>0</v>
      </c>
      <c r="G126" s="136">
        <f t="shared" si="29"/>
        <v>0</v>
      </c>
    </row>
    <row r="127" spans="1:7" x14ac:dyDescent="0.25">
      <c r="A127" s="73" t="s">
        <v>328</v>
      </c>
      <c r="B127" s="136">
        <v>0</v>
      </c>
      <c r="C127" s="136">
        <v>0</v>
      </c>
      <c r="D127" s="136">
        <v>0</v>
      </c>
      <c r="E127" s="136">
        <v>0</v>
      </c>
      <c r="F127" s="136">
        <v>0</v>
      </c>
      <c r="G127" s="136">
        <f t="shared" si="29"/>
        <v>0</v>
      </c>
    </row>
    <row r="128" spans="1:7" x14ac:dyDescent="0.25">
      <c r="A128" s="73" t="s">
        <v>329</v>
      </c>
      <c r="B128" s="136">
        <v>0</v>
      </c>
      <c r="C128" s="136">
        <v>0</v>
      </c>
      <c r="D128" s="136">
        <v>0</v>
      </c>
      <c r="E128" s="136">
        <v>0</v>
      </c>
      <c r="F128" s="136">
        <v>0</v>
      </c>
      <c r="G128" s="136">
        <f t="shared" si="29"/>
        <v>0</v>
      </c>
    </row>
    <row r="129" spans="1:7" x14ac:dyDescent="0.25">
      <c r="A129" s="73" t="s">
        <v>330</v>
      </c>
      <c r="B129" s="136">
        <v>0</v>
      </c>
      <c r="C129" s="136">
        <v>0</v>
      </c>
      <c r="D129" s="136">
        <v>0</v>
      </c>
      <c r="E129" s="136">
        <v>0</v>
      </c>
      <c r="F129" s="136">
        <v>0</v>
      </c>
      <c r="G129" s="136">
        <f t="shared" si="29"/>
        <v>0</v>
      </c>
    </row>
    <row r="130" spans="1:7" x14ac:dyDescent="0.25">
      <c r="A130" s="73" t="s">
        <v>331</v>
      </c>
      <c r="B130" s="136">
        <v>0</v>
      </c>
      <c r="C130" s="136">
        <v>0</v>
      </c>
      <c r="D130" s="136">
        <v>0</v>
      </c>
      <c r="E130" s="136">
        <v>0</v>
      </c>
      <c r="F130" s="136">
        <v>0</v>
      </c>
      <c r="G130" s="136">
        <f t="shared" si="29"/>
        <v>0</v>
      </c>
    </row>
    <row r="131" spans="1:7" x14ac:dyDescent="0.25">
      <c r="A131" s="73" t="s">
        <v>332</v>
      </c>
      <c r="B131" s="136">
        <v>0</v>
      </c>
      <c r="C131" s="136">
        <v>0</v>
      </c>
      <c r="D131" s="136">
        <v>0</v>
      </c>
      <c r="E131" s="136">
        <v>0</v>
      </c>
      <c r="F131" s="136">
        <v>0</v>
      </c>
      <c r="G131" s="136">
        <f t="shared" si="29"/>
        <v>0</v>
      </c>
    </row>
    <row r="132" spans="1:7" x14ac:dyDescent="0.25">
      <c r="A132" s="73" t="s">
        <v>333</v>
      </c>
      <c r="B132" s="136">
        <v>0</v>
      </c>
      <c r="C132" s="136">
        <v>0</v>
      </c>
      <c r="D132" s="136">
        <v>0</v>
      </c>
      <c r="E132" s="136">
        <v>0</v>
      </c>
      <c r="F132" s="136">
        <v>0</v>
      </c>
      <c r="G132" s="136">
        <f t="shared" si="29"/>
        <v>0</v>
      </c>
    </row>
    <row r="133" spans="1:7" x14ac:dyDescent="0.25">
      <c r="A133" s="72" t="s">
        <v>334</v>
      </c>
      <c r="B133" s="135">
        <f>SUM(B134:B136)</f>
        <v>86289670.170000002</v>
      </c>
      <c r="C133" s="135">
        <f t="shared" ref="C133:G133" si="30">SUM(C134:C136)</f>
        <v>0</v>
      </c>
      <c r="D133" s="135">
        <f t="shared" si="30"/>
        <v>86289670.170000002</v>
      </c>
      <c r="E133" s="135">
        <f t="shared" si="30"/>
        <v>0</v>
      </c>
      <c r="F133" s="135">
        <f t="shared" si="30"/>
        <v>0</v>
      </c>
      <c r="G133" s="135">
        <f t="shared" si="30"/>
        <v>86289670.170000002</v>
      </c>
    </row>
    <row r="134" spans="1:7" x14ac:dyDescent="0.25">
      <c r="A134" s="73" t="s">
        <v>335</v>
      </c>
      <c r="B134" s="136">
        <v>86289670.170000002</v>
      </c>
      <c r="C134" s="136" t="s">
        <v>3297</v>
      </c>
      <c r="D134" s="136">
        <v>86289670.170000002</v>
      </c>
      <c r="E134" s="136">
        <v>0</v>
      </c>
      <c r="F134" s="136">
        <v>0</v>
      </c>
      <c r="G134" s="136">
        <f>D134-E134</f>
        <v>86289670.170000002</v>
      </c>
    </row>
    <row r="135" spans="1:7" x14ac:dyDescent="0.25">
      <c r="A135" s="73" t="s">
        <v>336</v>
      </c>
      <c r="B135" s="136">
        <v>0</v>
      </c>
      <c r="C135" s="136">
        <v>0</v>
      </c>
      <c r="D135" s="136">
        <v>0</v>
      </c>
      <c r="E135" s="136">
        <v>0</v>
      </c>
      <c r="F135" s="136">
        <v>0</v>
      </c>
      <c r="G135" s="136">
        <f>D135-E135</f>
        <v>0</v>
      </c>
    </row>
    <row r="136" spans="1:7" x14ac:dyDescent="0.25">
      <c r="A136" s="73" t="s">
        <v>337</v>
      </c>
      <c r="B136" s="136">
        <v>0</v>
      </c>
      <c r="C136" s="136">
        <v>0</v>
      </c>
      <c r="D136" s="136">
        <v>0</v>
      </c>
      <c r="E136" s="136">
        <v>0</v>
      </c>
      <c r="F136" s="136">
        <v>0</v>
      </c>
      <c r="G136" s="136">
        <f>D136-E136</f>
        <v>0</v>
      </c>
    </row>
    <row r="137" spans="1:7" x14ac:dyDescent="0.25">
      <c r="A137" s="72" t="s">
        <v>338</v>
      </c>
      <c r="B137" s="135">
        <f>SUM(B138:B142,B144:B145)</f>
        <v>0</v>
      </c>
      <c r="C137" s="135">
        <f t="shared" ref="C137:G137" si="31">SUM(C138:C142,C144:C145)</f>
        <v>0</v>
      </c>
      <c r="D137" s="135">
        <f t="shared" si="31"/>
        <v>0</v>
      </c>
      <c r="E137" s="135">
        <f t="shared" si="31"/>
        <v>0</v>
      </c>
      <c r="F137" s="135">
        <f t="shared" si="31"/>
        <v>0</v>
      </c>
      <c r="G137" s="135">
        <f t="shared" si="31"/>
        <v>0</v>
      </c>
    </row>
    <row r="138" spans="1:7" x14ac:dyDescent="0.25">
      <c r="A138" s="73" t="s">
        <v>339</v>
      </c>
      <c r="B138" s="136">
        <v>0</v>
      </c>
      <c r="C138" s="136">
        <v>0</v>
      </c>
      <c r="D138" s="136">
        <v>0</v>
      </c>
      <c r="E138" s="136">
        <v>0</v>
      </c>
      <c r="F138" s="136">
        <v>0</v>
      </c>
      <c r="G138" s="136">
        <f t="shared" ref="G138:G145" si="32">D138-E138</f>
        <v>0</v>
      </c>
    </row>
    <row r="139" spans="1:7" x14ac:dyDescent="0.25">
      <c r="A139" s="73" t="s">
        <v>340</v>
      </c>
      <c r="B139" s="136">
        <v>0</v>
      </c>
      <c r="C139" s="136">
        <v>0</v>
      </c>
      <c r="D139" s="136">
        <v>0</v>
      </c>
      <c r="E139" s="136">
        <v>0</v>
      </c>
      <c r="F139" s="136">
        <v>0</v>
      </c>
      <c r="G139" s="136">
        <f t="shared" si="32"/>
        <v>0</v>
      </c>
    </row>
    <row r="140" spans="1:7" x14ac:dyDescent="0.25">
      <c r="A140" s="73" t="s">
        <v>341</v>
      </c>
      <c r="B140" s="136">
        <v>0</v>
      </c>
      <c r="C140" s="136">
        <v>0</v>
      </c>
      <c r="D140" s="136">
        <v>0</v>
      </c>
      <c r="E140" s="136">
        <v>0</v>
      </c>
      <c r="F140" s="136">
        <v>0</v>
      </c>
      <c r="G140" s="136">
        <f t="shared" si="32"/>
        <v>0</v>
      </c>
    </row>
    <row r="141" spans="1:7" x14ac:dyDescent="0.25">
      <c r="A141" s="73" t="s">
        <v>342</v>
      </c>
      <c r="B141" s="136">
        <v>0</v>
      </c>
      <c r="C141" s="136">
        <v>0</v>
      </c>
      <c r="D141" s="136">
        <v>0</v>
      </c>
      <c r="E141" s="136">
        <v>0</v>
      </c>
      <c r="F141" s="136">
        <v>0</v>
      </c>
      <c r="G141" s="136">
        <f t="shared" si="32"/>
        <v>0</v>
      </c>
    </row>
    <row r="142" spans="1:7" x14ac:dyDescent="0.25">
      <c r="A142" s="73" t="s">
        <v>343</v>
      </c>
      <c r="B142" s="136">
        <v>0</v>
      </c>
      <c r="C142" s="136">
        <v>0</v>
      </c>
      <c r="D142" s="136">
        <v>0</v>
      </c>
      <c r="E142" s="136">
        <v>0</v>
      </c>
      <c r="F142" s="136">
        <v>0</v>
      </c>
      <c r="G142" s="136">
        <f t="shared" si="32"/>
        <v>0</v>
      </c>
    </row>
    <row r="143" spans="1:7" x14ac:dyDescent="0.25">
      <c r="A143" s="73" t="s">
        <v>3293</v>
      </c>
      <c r="B143" s="136">
        <v>0</v>
      </c>
      <c r="C143" s="136">
        <v>0</v>
      </c>
      <c r="D143" s="136">
        <v>0</v>
      </c>
      <c r="E143" s="136">
        <v>0</v>
      </c>
      <c r="F143" s="136">
        <v>0</v>
      </c>
      <c r="G143" s="136">
        <f t="shared" si="32"/>
        <v>0</v>
      </c>
    </row>
    <row r="144" spans="1:7" x14ac:dyDescent="0.25">
      <c r="A144" s="73" t="s">
        <v>345</v>
      </c>
      <c r="B144" s="136">
        <v>0</v>
      </c>
      <c r="C144" s="136">
        <v>0</v>
      </c>
      <c r="D144" s="136">
        <v>0</v>
      </c>
      <c r="E144" s="136">
        <v>0</v>
      </c>
      <c r="F144" s="136">
        <v>0</v>
      </c>
      <c r="G144" s="136">
        <f t="shared" si="32"/>
        <v>0</v>
      </c>
    </row>
    <row r="145" spans="1:7" x14ac:dyDescent="0.25">
      <c r="A145" s="73" t="s">
        <v>346</v>
      </c>
      <c r="B145" s="136">
        <v>0</v>
      </c>
      <c r="C145" s="136">
        <v>0</v>
      </c>
      <c r="D145" s="136">
        <v>0</v>
      </c>
      <c r="E145" s="136">
        <v>0</v>
      </c>
      <c r="F145" s="136">
        <v>0</v>
      </c>
      <c r="G145" s="136">
        <f t="shared" si="32"/>
        <v>0</v>
      </c>
    </row>
    <row r="146" spans="1:7" x14ac:dyDescent="0.25">
      <c r="A146" s="72" t="s">
        <v>347</v>
      </c>
      <c r="B146" s="135">
        <f>SUM(B147:B149)</f>
        <v>0</v>
      </c>
      <c r="C146" s="135">
        <f t="shared" ref="C146:G146" si="33">SUM(C147:C149)</f>
        <v>0</v>
      </c>
      <c r="D146" s="135">
        <f t="shared" si="33"/>
        <v>0</v>
      </c>
      <c r="E146" s="135">
        <f t="shared" si="33"/>
        <v>0</v>
      </c>
      <c r="F146" s="135">
        <f t="shared" si="33"/>
        <v>0</v>
      </c>
      <c r="G146" s="135">
        <f t="shared" si="33"/>
        <v>0</v>
      </c>
    </row>
    <row r="147" spans="1:7" x14ac:dyDescent="0.25">
      <c r="A147" s="73" t="s">
        <v>348</v>
      </c>
      <c r="B147" s="136">
        <v>0</v>
      </c>
      <c r="C147" s="136">
        <v>0</v>
      </c>
      <c r="D147" s="136">
        <v>0</v>
      </c>
      <c r="E147" s="136">
        <v>0</v>
      </c>
      <c r="F147" s="136">
        <v>0</v>
      </c>
      <c r="G147" s="136">
        <f>D147-E147</f>
        <v>0</v>
      </c>
    </row>
    <row r="148" spans="1:7" x14ac:dyDescent="0.25">
      <c r="A148" s="73" t="s">
        <v>349</v>
      </c>
      <c r="B148" s="136">
        <v>0</v>
      </c>
      <c r="C148" s="136">
        <v>0</v>
      </c>
      <c r="D148" s="136">
        <v>0</v>
      </c>
      <c r="E148" s="136">
        <v>0</v>
      </c>
      <c r="F148" s="136">
        <v>0</v>
      </c>
      <c r="G148" s="136">
        <f>D148-E148</f>
        <v>0</v>
      </c>
    </row>
    <row r="149" spans="1:7" x14ac:dyDescent="0.25">
      <c r="A149" s="73" t="s">
        <v>350</v>
      </c>
      <c r="B149" s="136">
        <v>0</v>
      </c>
      <c r="C149" s="136">
        <v>0</v>
      </c>
      <c r="D149" s="136">
        <v>0</v>
      </c>
      <c r="E149" s="136">
        <v>0</v>
      </c>
      <c r="F149" s="136">
        <v>0</v>
      </c>
      <c r="G149" s="136">
        <f>D149-E149</f>
        <v>0</v>
      </c>
    </row>
    <row r="150" spans="1:7" x14ac:dyDescent="0.25">
      <c r="A150" s="72" t="s">
        <v>351</v>
      </c>
      <c r="B150" s="135">
        <f>SUM(B151:B157)</f>
        <v>4744000</v>
      </c>
      <c r="C150" s="135">
        <f t="shared" ref="C150:G150" si="34">SUM(C151:C157)</f>
        <v>0</v>
      </c>
      <c r="D150" s="135">
        <f t="shared" si="34"/>
        <v>4744000</v>
      </c>
      <c r="E150" s="135">
        <f t="shared" si="34"/>
        <v>2198180.25</v>
      </c>
      <c r="F150" s="135">
        <f t="shared" si="34"/>
        <v>2198180.25</v>
      </c>
      <c r="G150" s="135">
        <f t="shared" si="34"/>
        <v>2545819.75</v>
      </c>
    </row>
    <row r="151" spans="1:7" x14ac:dyDescent="0.25">
      <c r="A151" s="73" t="s">
        <v>352</v>
      </c>
      <c r="B151" s="136">
        <v>3744000</v>
      </c>
      <c r="C151" s="136" t="s">
        <v>3297</v>
      </c>
      <c r="D151" s="136">
        <v>3744000</v>
      </c>
      <c r="E151" s="136">
        <v>1872000</v>
      </c>
      <c r="F151" s="136">
        <v>1872000</v>
      </c>
      <c r="G151" s="136">
        <f t="shared" ref="G151:G157" si="35">D151-E151</f>
        <v>1872000</v>
      </c>
    </row>
    <row r="152" spans="1:7" x14ac:dyDescent="0.25">
      <c r="A152" s="73" t="s">
        <v>353</v>
      </c>
      <c r="B152" s="136">
        <v>1000000</v>
      </c>
      <c r="C152" s="136" t="s">
        <v>3297</v>
      </c>
      <c r="D152" s="136">
        <v>1000000</v>
      </c>
      <c r="E152" s="136">
        <v>326180.25</v>
      </c>
      <c r="F152" s="136">
        <v>326180.25</v>
      </c>
      <c r="G152" s="136">
        <f t="shared" si="35"/>
        <v>673819.75</v>
      </c>
    </row>
    <row r="153" spans="1:7" x14ac:dyDescent="0.25">
      <c r="A153" s="73" t="s">
        <v>354</v>
      </c>
      <c r="B153" s="136">
        <v>0</v>
      </c>
      <c r="C153" s="136">
        <v>0</v>
      </c>
      <c r="D153" s="136">
        <v>0</v>
      </c>
      <c r="E153" s="136">
        <v>0</v>
      </c>
      <c r="F153" s="136">
        <v>0</v>
      </c>
      <c r="G153" s="136">
        <f t="shared" si="35"/>
        <v>0</v>
      </c>
    </row>
    <row r="154" spans="1:7" x14ac:dyDescent="0.25">
      <c r="A154" s="40" t="s">
        <v>355</v>
      </c>
      <c r="B154" s="136">
        <v>0</v>
      </c>
      <c r="C154" s="136">
        <v>0</v>
      </c>
      <c r="D154" s="136">
        <v>0</v>
      </c>
      <c r="E154" s="136">
        <v>0</v>
      </c>
      <c r="F154" s="136">
        <v>0</v>
      </c>
      <c r="G154" s="136">
        <f t="shared" si="35"/>
        <v>0</v>
      </c>
    </row>
    <row r="155" spans="1:7" x14ac:dyDescent="0.25">
      <c r="A155" s="73" t="s">
        <v>356</v>
      </c>
      <c r="B155" s="136">
        <v>0</v>
      </c>
      <c r="C155" s="136">
        <v>0</v>
      </c>
      <c r="D155" s="136">
        <v>0</v>
      </c>
      <c r="E155" s="136">
        <v>0</v>
      </c>
      <c r="F155" s="136">
        <v>0</v>
      </c>
      <c r="G155" s="136">
        <f t="shared" si="35"/>
        <v>0</v>
      </c>
    </row>
    <row r="156" spans="1:7" x14ac:dyDescent="0.25">
      <c r="A156" s="73" t="s">
        <v>357</v>
      </c>
      <c r="B156" s="136">
        <v>0</v>
      </c>
      <c r="C156" s="136">
        <v>0</v>
      </c>
      <c r="D156" s="136">
        <v>0</v>
      </c>
      <c r="E156" s="136">
        <v>0</v>
      </c>
      <c r="F156" s="136">
        <v>0</v>
      </c>
      <c r="G156" s="136">
        <f t="shared" si="35"/>
        <v>0</v>
      </c>
    </row>
    <row r="157" spans="1:7" x14ac:dyDescent="0.25">
      <c r="A157" s="73" t="s">
        <v>358</v>
      </c>
      <c r="B157" s="136">
        <v>0</v>
      </c>
      <c r="C157" s="136">
        <v>0</v>
      </c>
      <c r="D157" s="136">
        <v>0</v>
      </c>
      <c r="E157" s="136">
        <v>0</v>
      </c>
      <c r="F157" s="136">
        <v>0</v>
      </c>
      <c r="G157" s="136">
        <f t="shared" si="35"/>
        <v>0</v>
      </c>
    </row>
    <row r="158" spans="1:7" x14ac:dyDescent="0.25">
      <c r="A158" s="41"/>
      <c r="B158" s="70"/>
      <c r="C158" s="70"/>
      <c r="D158" s="70"/>
      <c r="E158" s="70"/>
      <c r="F158" s="70"/>
      <c r="G158" s="70"/>
    </row>
    <row r="159" spans="1:7" x14ac:dyDescent="0.25">
      <c r="A159" s="42" t="s">
        <v>360</v>
      </c>
      <c r="B159" s="135">
        <f>B9+B84</f>
        <v>614900221.34000003</v>
      </c>
      <c r="C159" s="135">
        <f t="shared" ref="C159:G159" si="36">C9+C84</f>
        <v>0</v>
      </c>
      <c r="D159" s="135">
        <f t="shared" si="36"/>
        <v>614900221.34000003</v>
      </c>
      <c r="E159" s="135">
        <f t="shared" si="36"/>
        <v>236253910.10999998</v>
      </c>
      <c r="F159" s="135">
        <f t="shared" si="36"/>
        <v>217332757.21000001</v>
      </c>
      <c r="G159" s="135">
        <f t="shared" si="36"/>
        <v>378646311.22999996</v>
      </c>
    </row>
    <row r="160" spans="1:7" x14ac:dyDescent="0.25">
      <c r="A160" s="63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395832136.86000001</v>
      </c>
      <c r="Q2" s="18">
        <f>'Formato 6 a)'!C9</f>
        <v>0</v>
      </c>
      <c r="R2" s="18">
        <f>'Formato 6 a)'!D9</f>
        <v>395832136.86000001</v>
      </c>
      <c r="S2" s="18">
        <f>'Formato 6 a)'!E9</f>
        <v>179640601.14999998</v>
      </c>
      <c r="T2" s="18">
        <f>'Formato 6 a)'!F9</f>
        <v>160736271.88</v>
      </c>
      <c r="U2" s="18">
        <f>'Formato 6 a)'!G9</f>
        <v>216191535.70999998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209163617.67999998</v>
      </c>
      <c r="Q3" s="18">
        <f>'Formato 6 a)'!C10</f>
        <v>0</v>
      </c>
      <c r="R3" s="18">
        <f>'Formato 6 a)'!D10</f>
        <v>209163617.67999998</v>
      </c>
      <c r="S3" s="18">
        <f>'Formato 6 a)'!E10</f>
        <v>95359922.359999999</v>
      </c>
      <c r="T3" s="18">
        <f>'Formato 6 a)'!F10</f>
        <v>95359922.359999999</v>
      </c>
      <c r="U3" s="18">
        <f>'Formato 6 a)'!G10</f>
        <v>113803695.31999999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75015618</v>
      </c>
      <c r="Q4" s="18">
        <f>'Formato 6 a)'!C11</f>
        <v>0</v>
      </c>
      <c r="R4" s="18">
        <f>'Formato 6 a)'!D11</f>
        <v>75015618</v>
      </c>
      <c r="S4" s="18">
        <f>'Formato 6 a)'!E11</f>
        <v>27799518.98</v>
      </c>
      <c r="T4" s="18">
        <f>'Formato 6 a)'!F11</f>
        <v>27799518.98</v>
      </c>
      <c r="U4" s="18">
        <f>'Formato 6 a)'!G11</f>
        <v>47216099.019999996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52918983.289999999</v>
      </c>
      <c r="Q5" s="18">
        <f>'Formato 6 a)'!C12</f>
        <v>0</v>
      </c>
      <c r="R5" s="18">
        <f>'Formato 6 a)'!D12</f>
        <v>52918983.289999999</v>
      </c>
      <c r="S5" s="18">
        <f>'Formato 6 a)'!E12</f>
        <v>48698489.469999999</v>
      </c>
      <c r="T5" s="18">
        <f>'Formato 6 a)'!F12</f>
        <v>48698489.469999999</v>
      </c>
      <c r="U5" s="18">
        <f>'Formato 6 a)'!G12</f>
        <v>4220493.82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22276909.670000002</v>
      </c>
      <c r="Q6" s="18">
        <f>'Formato 6 a)'!C13</f>
        <v>0</v>
      </c>
      <c r="R6" s="18">
        <f>'Formato 6 a)'!D13</f>
        <v>22276909.670000002</v>
      </c>
      <c r="S6" s="18">
        <f>'Formato 6 a)'!E13</f>
        <v>3056289.14</v>
      </c>
      <c r="T6" s="18">
        <f>'Formato 6 a)'!F13</f>
        <v>3056289.14</v>
      </c>
      <c r="U6" s="18">
        <f>'Formato 6 a)'!G13</f>
        <v>19220620.530000001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1051498.1499999999</v>
      </c>
      <c r="Q7" s="18">
        <f>'Formato 6 a)'!C14</f>
        <v>0</v>
      </c>
      <c r="R7" s="18">
        <f>'Formato 6 a)'!D14</f>
        <v>1051498.1499999999</v>
      </c>
      <c r="S7" s="18">
        <f>'Formato 6 a)'!E14</f>
        <v>476307.66</v>
      </c>
      <c r="T7" s="18">
        <f>'Formato 6 a)'!F14</f>
        <v>476307.66</v>
      </c>
      <c r="U7" s="18">
        <f>'Formato 6 a)'!G14</f>
        <v>575190.49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57900608.57</v>
      </c>
      <c r="Q8" s="18">
        <f>'Formato 6 a)'!C15</f>
        <v>0</v>
      </c>
      <c r="R8" s="18">
        <f>'Formato 6 a)'!D15</f>
        <v>57900608.57</v>
      </c>
      <c r="S8" s="18">
        <f>'Formato 6 a)'!E15</f>
        <v>15329317.109999999</v>
      </c>
      <c r="T8" s="18">
        <f>'Formato 6 a)'!F15</f>
        <v>15329317.109999999</v>
      </c>
      <c r="U8" s="18">
        <f>'Formato 6 a)'!G15</f>
        <v>42571291.460000001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44643451</v>
      </c>
      <c r="Q11" s="18">
        <f>'Formato 6 a)'!C18</f>
        <v>0</v>
      </c>
      <c r="R11" s="18">
        <f>'Formato 6 a)'!D18</f>
        <v>44643451</v>
      </c>
      <c r="S11" s="18">
        <f>'Formato 6 a)'!E18</f>
        <v>19586868.369999997</v>
      </c>
      <c r="T11" s="18">
        <f>'Formato 6 a)'!F18</f>
        <v>10510251.829999998</v>
      </c>
      <c r="U11" s="18">
        <f>'Formato 6 a)'!G18</f>
        <v>25056582.629999999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5928001</v>
      </c>
      <c r="Q12" s="18">
        <f>'Formato 6 a)'!C19</f>
        <v>0</v>
      </c>
      <c r="R12" s="18">
        <f>'Formato 6 a)'!D19</f>
        <v>5928001</v>
      </c>
      <c r="S12" s="18">
        <f>'Formato 6 a)'!E19</f>
        <v>2647816.12</v>
      </c>
      <c r="T12" s="18">
        <f>'Formato 6 a)'!F19</f>
        <v>1669320.21</v>
      </c>
      <c r="U12" s="18">
        <f>'Formato 6 a)'!G19</f>
        <v>3280184.88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1871750</v>
      </c>
      <c r="Q13" s="18">
        <f>'Formato 6 a)'!C20</f>
        <v>0</v>
      </c>
      <c r="R13" s="18">
        <f>'Formato 6 a)'!D20</f>
        <v>1871750</v>
      </c>
      <c r="S13" s="18">
        <f>'Formato 6 a)'!E20</f>
        <v>762479.93</v>
      </c>
      <c r="T13" s="18">
        <f>'Formato 6 a)'!F20</f>
        <v>720871.93</v>
      </c>
      <c r="U13" s="18">
        <f>'Formato 6 a)'!G20</f>
        <v>1109270.0699999998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80000</v>
      </c>
      <c r="Q14" s="18">
        <f>'Formato 6 a)'!C21</f>
        <v>0</v>
      </c>
      <c r="R14" s="18">
        <f>'Formato 6 a)'!D21</f>
        <v>80000</v>
      </c>
      <c r="S14" s="18">
        <f>'Formato 6 a)'!E21</f>
        <v>34290.36</v>
      </c>
      <c r="T14" s="18">
        <f>'Formato 6 a)'!F21</f>
        <v>0</v>
      </c>
      <c r="U14" s="18">
        <f>'Formato 6 a)'!G21</f>
        <v>45709.64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4154200</v>
      </c>
      <c r="Q15" s="18">
        <f>'Formato 6 a)'!C22</f>
        <v>0</v>
      </c>
      <c r="R15" s="18">
        <f>'Formato 6 a)'!D22</f>
        <v>4154200</v>
      </c>
      <c r="S15" s="18">
        <f>'Formato 6 a)'!E22</f>
        <v>1323747.28</v>
      </c>
      <c r="T15" s="18">
        <f>'Formato 6 a)'!F22</f>
        <v>1115200.8600000001</v>
      </c>
      <c r="U15" s="18">
        <f>'Formato 6 a)'!G22</f>
        <v>2830452.7199999997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21175500</v>
      </c>
      <c r="Q16" s="18">
        <f>'Formato 6 a)'!C23</f>
        <v>0</v>
      </c>
      <c r="R16" s="18">
        <f>'Formato 6 a)'!D23</f>
        <v>21175500</v>
      </c>
      <c r="S16" s="18">
        <f>'Formato 6 a)'!E23</f>
        <v>10615950.76</v>
      </c>
      <c r="T16" s="18">
        <f>'Formato 6 a)'!F23</f>
        <v>2860664.02</v>
      </c>
      <c r="U16" s="18">
        <f>'Formato 6 a)'!G23</f>
        <v>10559549.24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7003400</v>
      </c>
      <c r="Q17" s="18">
        <f>'Formato 6 a)'!C24</f>
        <v>0</v>
      </c>
      <c r="R17" s="18">
        <f>'Formato 6 a)'!D24</f>
        <v>7003400</v>
      </c>
      <c r="S17" s="18">
        <f>'Formato 6 a)'!E24</f>
        <v>3269779.11</v>
      </c>
      <c r="T17" s="18">
        <f>'Formato 6 a)'!F24</f>
        <v>3258350.19</v>
      </c>
      <c r="U17" s="18">
        <f>'Formato 6 a)'!G24</f>
        <v>3733620.89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1395600</v>
      </c>
      <c r="Q18" s="18">
        <f>'Formato 6 a)'!C25</f>
        <v>0</v>
      </c>
      <c r="R18" s="18">
        <f>'Formato 6 a)'!D25</f>
        <v>1395600</v>
      </c>
      <c r="S18" s="18">
        <f>'Formato 6 a)'!E25</f>
        <v>335968.99</v>
      </c>
      <c r="T18" s="18">
        <f>'Formato 6 a)'!F25</f>
        <v>335631.43</v>
      </c>
      <c r="U18" s="18">
        <f>'Formato 6 a)'!G25</f>
        <v>1059631.01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2350000</v>
      </c>
      <c r="Q19" s="18">
        <f>'Formato 6 a)'!C26</f>
        <v>0</v>
      </c>
      <c r="R19" s="18">
        <f>'Formato 6 a)'!D26</f>
        <v>2350000</v>
      </c>
      <c r="S19" s="18">
        <f>'Formato 6 a)'!E26</f>
        <v>475060</v>
      </c>
      <c r="T19" s="18">
        <f>'Formato 6 a)'!F26</f>
        <v>475060</v>
      </c>
      <c r="U19" s="18">
        <f>'Formato 6 a)'!G26</f>
        <v>1874940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685000</v>
      </c>
      <c r="Q20" s="18">
        <f>'Formato 6 a)'!C27</f>
        <v>0</v>
      </c>
      <c r="R20" s="18">
        <f>'Formato 6 a)'!D27</f>
        <v>685000</v>
      </c>
      <c r="S20" s="18">
        <f>'Formato 6 a)'!E27</f>
        <v>121775.82</v>
      </c>
      <c r="T20" s="18">
        <f>'Formato 6 a)'!F27</f>
        <v>75153.19</v>
      </c>
      <c r="U20" s="18">
        <f>'Formato 6 a)'!G27</f>
        <v>563224.17999999993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89748818.760000005</v>
      </c>
      <c r="Q21" s="18">
        <f>'Formato 6 a)'!C28</f>
        <v>0</v>
      </c>
      <c r="R21" s="18">
        <f>'Formato 6 a)'!D28</f>
        <v>89748818.760000005</v>
      </c>
      <c r="S21" s="18">
        <f>'Formato 6 a)'!E28</f>
        <v>43320801.539999999</v>
      </c>
      <c r="T21" s="18">
        <f>'Formato 6 a)'!F28</f>
        <v>33860097.640000001</v>
      </c>
      <c r="U21" s="18">
        <f>'Formato 6 a)'!G28</f>
        <v>46428017.219999999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14029200</v>
      </c>
      <c r="Q22" s="18">
        <f>'Formato 6 a)'!C29</f>
        <v>0</v>
      </c>
      <c r="R22" s="18">
        <f>'Formato 6 a)'!D29</f>
        <v>14029200</v>
      </c>
      <c r="S22" s="18">
        <f>'Formato 6 a)'!E29</f>
        <v>6978845.5700000003</v>
      </c>
      <c r="T22" s="18">
        <f>'Formato 6 a)'!F29</f>
        <v>6535489.9800000004</v>
      </c>
      <c r="U22" s="18">
        <f>'Formato 6 a)'!G29</f>
        <v>7050354.4299999997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7855062.4000000004</v>
      </c>
      <c r="Q23" s="18">
        <f>'Formato 6 a)'!C30</f>
        <v>0</v>
      </c>
      <c r="R23" s="18">
        <f>'Formato 6 a)'!D30</f>
        <v>7855062.4000000004</v>
      </c>
      <c r="S23" s="18">
        <f>'Formato 6 a)'!E30</f>
        <v>3740787.43</v>
      </c>
      <c r="T23" s="18">
        <f>'Formato 6 a)'!F30</f>
        <v>3737350.33</v>
      </c>
      <c r="U23" s="18">
        <f>'Formato 6 a)'!G30</f>
        <v>4114274.97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6237000</v>
      </c>
      <c r="Q24" s="18">
        <f>'Formato 6 a)'!C31</f>
        <v>0</v>
      </c>
      <c r="R24" s="18">
        <f>'Formato 6 a)'!D31</f>
        <v>6237000</v>
      </c>
      <c r="S24" s="18">
        <f>'Formato 6 a)'!E31</f>
        <v>2930472.06</v>
      </c>
      <c r="T24" s="18">
        <f>'Formato 6 a)'!F31</f>
        <v>2930472.06</v>
      </c>
      <c r="U24" s="18">
        <f>'Formato 6 a)'!G31</f>
        <v>3306527.94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1200000</v>
      </c>
      <c r="Q25" s="18">
        <f>'Formato 6 a)'!C32</f>
        <v>0</v>
      </c>
      <c r="R25" s="18">
        <f>'Formato 6 a)'!D32</f>
        <v>1200000</v>
      </c>
      <c r="S25" s="18">
        <f>'Formato 6 a)'!E32</f>
        <v>881519.51</v>
      </c>
      <c r="T25" s="18">
        <f>'Formato 6 a)'!F32</f>
        <v>249970.14</v>
      </c>
      <c r="U25" s="18">
        <f>'Formato 6 a)'!G32</f>
        <v>318480.49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21659170.850000001</v>
      </c>
      <c r="Q26" s="18">
        <f>'Formato 6 a)'!C33</f>
        <v>0</v>
      </c>
      <c r="R26" s="18">
        <f>'Formato 6 a)'!D33</f>
        <v>21659170.850000001</v>
      </c>
      <c r="S26" s="18">
        <f>'Formato 6 a)'!E33</f>
        <v>10001302.58</v>
      </c>
      <c r="T26" s="18">
        <f>'Formato 6 a)'!F33</f>
        <v>9856127.4199999999</v>
      </c>
      <c r="U26" s="18">
        <f>'Formato 6 a)'!G33</f>
        <v>11657868.270000001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5660000</v>
      </c>
      <c r="Q27" s="18">
        <f>'Formato 6 a)'!C34</f>
        <v>0</v>
      </c>
      <c r="R27" s="18">
        <f>'Formato 6 a)'!D34</f>
        <v>5660000</v>
      </c>
      <c r="S27" s="18">
        <f>'Formato 6 a)'!E34</f>
        <v>839505.28</v>
      </c>
      <c r="T27" s="18">
        <f>'Formato 6 a)'!F34</f>
        <v>794279.2</v>
      </c>
      <c r="U27" s="18">
        <f>'Formato 6 a)'!G34</f>
        <v>4820494.72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659200</v>
      </c>
      <c r="Q28" s="18">
        <f>'Formato 6 a)'!C35</f>
        <v>0</v>
      </c>
      <c r="R28" s="18">
        <f>'Formato 6 a)'!D35</f>
        <v>659200</v>
      </c>
      <c r="S28" s="18">
        <f>'Formato 6 a)'!E35</f>
        <v>43567.34</v>
      </c>
      <c r="T28" s="18">
        <f>'Formato 6 a)'!F35</f>
        <v>43567.34</v>
      </c>
      <c r="U28" s="18">
        <f>'Formato 6 a)'!G35</f>
        <v>615632.66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5341000</v>
      </c>
      <c r="Q29" s="18">
        <f>'Formato 6 a)'!C36</f>
        <v>0</v>
      </c>
      <c r="R29" s="18">
        <f>'Formato 6 a)'!D36</f>
        <v>5341000</v>
      </c>
      <c r="S29" s="18">
        <f>'Formato 6 a)'!E36</f>
        <v>907861.41</v>
      </c>
      <c r="T29" s="18">
        <f>'Formato 6 a)'!F36</f>
        <v>882389.63</v>
      </c>
      <c r="U29" s="18">
        <f>'Formato 6 a)'!G36</f>
        <v>4433138.59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27108185.510000002</v>
      </c>
      <c r="Q30" s="18">
        <f>'Formato 6 a)'!C37</f>
        <v>0</v>
      </c>
      <c r="R30" s="18">
        <f>'Formato 6 a)'!D37</f>
        <v>27108185.510000002</v>
      </c>
      <c r="S30" s="18">
        <f>'Formato 6 a)'!E37</f>
        <v>16996940.359999999</v>
      </c>
      <c r="T30" s="18">
        <f>'Formato 6 a)'!F37</f>
        <v>8830451.5399999991</v>
      </c>
      <c r="U30" s="18">
        <f>'Formato 6 a)'!G37</f>
        <v>10111245.150000002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47981249.420000002</v>
      </c>
      <c r="Q31" s="18">
        <f>'Formato 6 a)'!C38</f>
        <v>0</v>
      </c>
      <c r="R31" s="18">
        <f>'Formato 6 a)'!D38</f>
        <v>47981249.420000002</v>
      </c>
      <c r="S31" s="18">
        <f>'Formato 6 a)'!E38</f>
        <v>21373007.880000003</v>
      </c>
      <c r="T31" s="18">
        <f>'Formato 6 a)'!F38</f>
        <v>21005999.050000001</v>
      </c>
      <c r="U31" s="18">
        <f>'Formato 6 a)'!G38</f>
        <v>26608241.539999999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26000000</v>
      </c>
      <c r="Q32" s="18">
        <f>'Formato 6 a)'!C39</f>
        <v>0</v>
      </c>
      <c r="R32" s="18">
        <f>'Formato 6 a)'!D39</f>
        <v>26000000</v>
      </c>
      <c r="S32" s="18">
        <f>'Formato 6 a)'!E39</f>
        <v>13313200</v>
      </c>
      <c r="T32" s="18">
        <f>'Formato 6 a)'!F39</f>
        <v>13313200</v>
      </c>
      <c r="U32" s="18">
        <f>'Formato 6 a)'!G39</f>
        <v>12686800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2000000</v>
      </c>
      <c r="Q34" s="18">
        <f>'Formato 6 a)'!C41</f>
        <v>0</v>
      </c>
      <c r="R34" s="18">
        <f>'Formato 6 a)'!D41</f>
        <v>2000000</v>
      </c>
      <c r="S34" s="18">
        <f>'Formato 6 a)'!E41</f>
        <v>2000000</v>
      </c>
      <c r="T34" s="18">
        <f>'Formato 6 a)'!F41</f>
        <v>2000000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10104000</v>
      </c>
      <c r="Q35" s="18">
        <f>'Formato 6 a)'!C42</f>
        <v>0</v>
      </c>
      <c r="R35" s="18">
        <f>'Formato 6 a)'!D42</f>
        <v>10104000</v>
      </c>
      <c r="S35" s="18">
        <f>'Formato 6 a)'!E42</f>
        <v>4202643.4400000004</v>
      </c>
      <c r="T35" s="18">
        <f>'Formato 6 a)'!F42</f>
        <v>3835634.61</v>
      </c>
      <c r="U35" s="18">
        <f>'Formato 6 a)'!G42</f>
        <v>5901356.5599999996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9877249.4199999999</v>
      </c>
      <c r="Q36" s="18">
        <f>'Formato 6 a)'!C43</f>
        <v>0</v>
      </c>
      <c r="R36" s="18">
        <f>'Formato 6 a)'!D43</f>
        <v>9877249.4199999999</v>
      </c>
      <c r="S36" s="18">
        <f>'Formato 6 a)'!E43</f>
        <v>1857164.44</v>
      </c>
      <c r="T36" s="18">
        <f>'Formato 6 a)'!F43</f>
        <v>1857164.44</v>
      </c>
      <c r="U36" s="18">
        <f>'Formato 6 a)'!G43</f>
        <v>8020084.9800000004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445000</v>
      </c>
      <c r="Q41" s="18">
        <f>'Formato 6 a)'!C48</f>
        <v>0</v>
      </c>
      <c r="R41" s="18">
        <f>'Formato 6 a)'!D48</f>
        <v>445000</v>
      </c>
      <c r="S41" s="18">
        <f>'Formato 6 a)'!E48</f>
        <v>0</v>
      </c>
      <c r="T41" s="18">
        <f>'Formato 6 a)'!F48</f>
        <v>0</v>
      </c>
      <c r="U41" s="18">
        <f>'Formato 6 a)'!G48</f>
        <v>445000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245000</v>
      </c>
      <c r="Q42" s="18">
        <f>'Formato 6 a)'!C49</f>
        <v>0</v>
      </c>
      <c r="R42" s="18">
        <f>'Formato 6 a)'!D49</f>
        <v>245000</v>
      </c>
      <c r="S42" s="18">
        <f>'Formato 6 a)'!E49</f>
        <v>0</v>
      </c>
      <c r="T42" s="18">
        <f>'Formato 6 a)'!F49</f>
        <v>0</v>
      </c>
      <c r="U42" s="18">
        <f>'Formato 6 a)'!G49</f>
        <v>245000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150000</v>
      </c>
      <c r="Q47" s="18">
        <f>'Formato 6 a)'!C54</f>
        <v>0</v>
      </c>
      <c r="R47" s="18">
        <f>'Formato 6 a)'!D54</f>
        <v>150000</v>
      </c>
      <c r="S47" s="18">
        <f>'Formato 6 a)'!E54</f>
        <v>0</v>
      </c>
      <c r="T47" s="18">
        <f>'Formato 6 a)'!F54</f>
        <v>0</v>
      </c>
      <c r="U47" s="18">
        <f>'Formato 6 a)'!G54</f>
        <v>150000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50000</v>
      </c>
      <c r="Q50" s="18">
        <f>'Formato 6 a)'!C57</f>
        <v>0</v>
      </c>
      <c r="R50" s="18">
        <f>'Formato 6 a)'!D57</f>
        <v>50000</v>
      </c>
      <c r="S50" s="18">
        <f>'Formato 6 a)'!E57</f>
        <v>0</v>
      </c>
      <c r="T50" s="18">
        <f>'Formato 6 a)'!F57</f>
        <v>0</v>
      </c>
      <c r="U50" s="18">
        <f>'Formato 6 a)'!G57</f>
        <v>50000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2500000</v>
      </c>
      <c r="Q51" s="18">
        <f>'Formato 6 a)'!C58</f>
        <v>0</v>
      </c>
      <c r="R51" s="18">
        <f>'Formato 6 a)'!D58</f>
        <v>2500000</v>
      </c>
      <c r="S51" s="18">
        <f>'Formato 6 a)'!E58</f>
        <v>0</v>
      </c>
      <c r="T51" s="18">
        <f>'Formato 6 a)'!F58</f>
        <v>0</v>
      </c>
      <c r="U51" s="18">
        <f>'Formato 6 a)'!G58</f>
        <v>2500000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2500000</v>
      </c>
      <c r="Q52" s="18">
        <f>'Formato 6 a)'!C59</f>
        <v>0</v>
      </c>
      <c r="R52" s="18">
        <f>'Formato 6 a)'!D59</f>
        <v>2500000</v>
      </c>
      <c r="S52" s="18">
        <f>'Formato 6 a)'!E59</f>
        <v>0</v>
      </c>
      <c r="T52" s="18">
        <f>'Formato 6 a)'!F59</f>
        <v>0</v>
      </c>
      <c r="U52" s="18">
        <f>'Formato 6 a)'!G59</f>
        <v>2500000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4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1350000</v>
      </c>
      <c r="Q64" s="18">
        <f>'Formato 6 a)'!C71</f>
        <v>0</v>
      </c>
      <c r="R64" s="18">
        <f>'Formato 6 a)'!D71</f>
        <v>1350000</v>
      </c>
      <c r="S64" s="18">
        <f>'Formato 6 a)'!E71</f>
        <v>1</v>
      </c>
      <c r="T64" s="18">
        <f>'Formato 6 a)'!F71</f>
        <v>1</v>
      </c>
      <c r="U64" s="18">
        <f>'Formato 6 a)'!G71</f>
        <v>1349999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1350000</v>
      </c>
      <c r="Q67" s="18" t="str">
        <f>'Formato 6 a)'!C74</f>
        <v xml:space="preserve">                                          -  </v>
      </c>
      <c r="R67" s="18">
        <f>'Formato 6 a)'!D74</f>
        <v>1350000</v>
      </c>
      <c r="S67" s="18">
        <f>'Formato 6 a)'!E74</f>
        <v>1</v>
      </c>
      <c r="T67" s="18">
        <f>'Formato 6 a)'!F74</f>
        <v>1</v>
      </c>
      <c r="U67" s="18">
        <f>'Formato 6 a)'!G74</f>
        <v>1349999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219068084.47999999</v>
      </c>
      <c r="Q76">
        <f>'Formato 6 a)'!C84</f>
        <v>0</v>
      </c>
      <c r="R76">
        <f>'Formato 6 a)'!D84</f>
        <v>219068084.47999999</v>
      </c>
      <c r="S76">
        <f>'Formato 6 a)'!E84</f>
        <v>56613308.960000001</v>
      </c>
      <c r="T76">
        <f>'Formato 6 a)'!F84</f>
        <v>56596485.330000006</v>
      </c>
      <c r="U76">
        <f>'Formato 6 a)'!G84</f>
        <v>162454775.51999998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111842713.19999999</v>
      </c>
      <c r="Q77">
        <f>'Formato 6 a)'!C85</f>
        <v>0</v>
      </c>
      <c r="R77">
        <f>'Formato 6 a)'!D85</f>
        <v>111842713.19999999</v>
      </c>
      <c r="S77">
        <f>'Formato 6 a)'!E85</f>
        <v>42349311.480000004</v>
      </c>
      <c r="T77">
        <f>'Formato 6 a)'!F85</f>
        <v>42350813.700000003</v>
      </c>
      <c r="U77">
        <f>'Formato 6 a)'!G85</f>
        <v>69493401.719999984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72734481.459999993</v>
      </c>
      <c r="Q78">
        <f>'Formato 6 a)'!C86</f>
        <v>0</v>
      </c>
      <c r="R78">
        <f>'Formato 6 a)'!D86</f>
        <v>72734481.459999993</v>
      </c>
      <c r="S78">
        <f>'Formato 6 a)'!E86</f>
        <v>29810716.760000002</v>
      </c>
      <c r="T78">
        <f>'Formato 6 a)'!F86</f>
        <v>29810716.760000002</v>
      </c>
      <c r="U78">
        <f>'Formato 6 a)'!G86</f>
        <v>42923764.699999988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9158654.8499999996</v>
      </c>
      <c r="Q79">
        <f>'Formato 6 a)'!C87</f>
        <v>0</v>
      </c>
      <c r="R79">
        <f>'Formato 6 a)'!D87</f>
        <v>9158654.8499999996</v>
      </c>
      <c r="S79">
        <f>'Formato 6 a)'!E87</f>
        <v>7832480.8200000003</v>
      </c>
      <c r="T79">
        <f>'Formato 6 a)'!F87</f>
        <v>7832480.8200000003</v>
      </c>
      <c r="U79">
        <f>'Formato 6 a)'!G87</f>
        <v>1326174.0299999993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14508101.74</v>
      </c>
      <c r="Q80">
        <f>'Formato 6 a)'!C88</f>
        <v>0</v>
      </c>
      <c r="R80">
        <f>'Formato 6 a)'!D88</f>
        <v>14508101.74</v>
      </c>
      <c r="S80">
        <f>'Formato 6 a)'!E88</f>
        <v>809684.95</v>
      </c>
      <c r="T80">
        <f>'Formato 6 a)'!F88</f>
        <v>811187.17</v>
      </c>
      <c r="U80">
        <f>'Formato 6 a)'!G88</f>
        <v>13698416.790000001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1000000</v>
      </c>
      <c r="Q81">
        <f>'Formato 6 a)'!C89</f>
        <v>0</v>
      </c>
      <c r="R81">
        <f>'Formato 6 a)'!D89</f>
        <v>1000000</v>
      </c>
      <c r="S81">
        <f>'Formato 6 a)'!E89</f>
        <v>61180</v>
      </c>
      <c r="T81">
        <f>'Formato 6 a)'!F89</f>
        <v>61180</v>
      </c>
      <c r="U81">
        <f>'Formato 6 a)'!G89</f>
        <v>938820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14441475.15</v>
      </c>
      <c r="Q82">
        <f>'Formato 6 a)'!C90</f>
        <v>0</v>
      </c>
      <c r="R82">
        <f>'Formato 6 a)'!D90</f>
        <v>14441475.15</v>
      </c>
      <c r="S82">
        <f>'Formato 6 a)'!E90</f>
        <v>3835248.95</v>
      </c>
      <c r="T82">
        <f>'Formato 6 a)'!F90</f>
        <v>3835248.95</v>
      </c>
      <c r="U82">
        <f>'Formato 6 a)'!G90</f>
        <v>10606226.199999999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7680000</v>
      </c>
      <c r="Q85">
        <f>'Formato 6 a)'!C93</f>
        <v>0</v>
      </c>
      <c r="R85">
        <f>'Formato 6 a)'!D93</f>
        <v>7680000</v>
      </c>
      <c r="S85">
        <f>'Formato 6 a)'!E93</f>
        <v>6723090.3300000001</v>
      </c>
      <c r="T85">
        <f>'Formato 6 a)'!F93</f>
        <v>6780071.6799999997</v>
      </c>
      <c r="U85">
        <f>'Formato 6 a)'!G93</f>
        <v>956909.66999999993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150000</v>
      </c>
      <c r="Q87" t="str">
        <f>'Formato 6 a)'!C95</f>
        <v xml:space="preserve">                                          -  </v>
      </c>
      <c r="R87">
        <f>'Formato 6 a)'!D95</f>
        <v>150000</v>
      </c>
      <c r="S87">
        <f>'Formato 6 a)'!E95</f>
        <v>41412</v>
      </c>
      <c r="T87">
        <f>'Formato 6 a)'!F95</f>
        <v>41412</v>
      </c>
      <c r="U87">
        <f>'Formato 6 a)'!G95</f>
        <v>108588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1000000</v>
      </c>
      <c r="Q89" t="str">
        <f>'Formato 6 a)'!C97</f>
        <v xml:space="preserve">                                          -  </v>
      </c>
      <c r="R89">
        <f>'Formato 6 a)'!D97</f>
        <v>1000000</v>
      </c>
      <c r="S89">
        <f>'Formato 6 a)'!E97</f>
        <v>784171.54</v>
      </c>
      <c r="T89">
        <f>'Formato 6 a)'!F97</f>
        <v>931171.54</v>
      </c>
      <c r="U89">
        <f>'Formato 6 a)'!G97</f>
        <v>215828.45999999996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6080000</v>
      </c>
      <c r="Q91" t="str">
        <f>'Formato 6 a)'!C99</f>
        <v xml:space="preserve">                                          -  </v>
      </c>
      <c r="R91">
        <f>'Formato 6 a)'!D99</f>
        <v>6080000</v>
      </c>
      <c r="S91">
        <f>'Formato 6 a)'!E99</f>
        <v>5569512.79</v>
      </c>
      <c r="T91">
        <f>'Formato 6 a)'!F99</f>
        <v>5479494.1399999997</v>
      </c>
      <c r="U91">
        <f>'Formato 6 a)'!G99</f>
        <v>510487.20999999996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350000</v>
      </c>
      <c r="Q93" t="str">
        <f>'Formato 6 a)'!C101</f>
        <v xml:space="preserve">                                          -  </v>
      </c>
      <c r="R93">
        <f>'Formato 6 a)'!D101</f>
        <v>350000</v>
      </c>
      <c r="S93">
        <f>'Formato 6 a)'!E101</f>
        <v>231250</v>
      </c>
      <c r="T93">
        <f>'Formato 6 a)'!F101</f>
        <v>231250</v>
      </c>
      <c r="U93">
        <f>'Formato 6 a)'!G101</f>
        <v>118750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100000</v>
      </c>
      <c r="Q94" t="str">
        <f>'Formato 6 a)'!C102</f>
        <v xml:space="preserve">                                          -  </v>
      </c>
      <c r="R94">
        <f>'Formato 6 a)'!D102</f>
        <v>100000</v>
      </c>
      <c r="S94">
        <f>'Formato 6 a)'!E102</f>
        <v>96744</v>
      </c>
      <c r="T94">
        <f>'Formato 6 a)'!F102</f>
        <v>96744</v>
      </c>
      <c r="U94">
        <f>'Formato 6 a)'!G102</f>
        <v>3256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8511701.1099999994</v>
      </c>
      <c r="Q95">
        <f>'Formato 6 a)'!C103</f>
        <v>0</v>
      </c>
      <c r="R95">
        <f>'Formato 6 a)'!D103</f>
        <v>8511701.1099999994</v>
      </c>
      <c r="S95">
        <f>'Formato 6 a)'!E103</f>
        <v>5342726.9000000004</v>
      </c>
      <c r="T95">
        <f>'Formato 6 a)'!F103</f>
        <v>5267419.7</v>
      </c>
      <c r="U95">
        <f>'Formato 6 a)'!G103</f>
        <v>3168974.2099999995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1000000</v>
      </c>
      <c r="Q99" t="str">
        <f>'Formato 6 a)'!C107</f>
        <v xml:space="preserve">                                          -  </v>
      </c>
      <c r="R99">
        <f>'Formato 6 a)'!D107</f>
        <v>1000000</v>
      </c>
      <c r="S99">
        <f>'Formato 6 a)'!E107</f>
        <v>0</v>
      </c>
      <c r="T99">
        <f>'Formato 6 a)'!F107</f>
        <v>0</v>
      </c>
      <c r="U99">
        <f>'Formato 6 a)'!G107</f>
        <v>1000000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4465000</v>
      </c>
      <c r="Q100" t="str">
        <f>'Formato 6 a)'!C108</f>
        <v xml:space="preserve">                                          -  </v>
      </c>
      <c r="R100">
        <f>'Formato 6 a)'!D108</f>
        <v>4465000</v>
      </c>
      <c r="S100">
        <f>'Formato 6 a)'!E108</f>
        <v>4308243.9000000004</v>
      </c>
      <c r="T100">
        <f>'Formato 6 a)'!F108</f>
        <v>4232936.7</v>
      </c>
      <c r="U100">
        <f>'Formato 6 a)'!G108</f>
        <v>156756.09999999963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3046701.11</v>
      </c>
      <c r="Q104" t="str">
        <f>'Formato 6 a)'!C112</f>
        <v xml:space="preserve">                                          -  </v>
      </c>
      <c r="R104">
        <f>'Formato 6 a)'!D112</f>
        <v>3046701.11</v>
      </c>
      <c r="S104">
        <f>'Formato 6 a)'!E112</f>
        <v>1034483</v>
      </c>
      <c r="T104">
        <f>'Formato 6 a)'!F112</f>
        <v>1034483</v>
      </c>
      <c r="U104">
        <f>'Formato 6 a)'!G112</f>
        <v>2012218.1099999999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86289670.170000002</v>
      </c>
      <c r="Q125">
        <f>'Formato 6 a)'!C133</f>
        <v>0</v>
      </c>
      <c r="R125">
        <f>'Formato 6 a)'!D133</f>
        <v>86289670.170000002</v>
      </c>
      <c r="S125">
        <f>'Formato 6 a)'!E133</f>
        <v>0</v>
      </c>
      <c r="T125">
        <f>'Formato 6 a)'!F133</f>
        <v>0</v>
      </c>
      <c r="U125">
        <f>'Formato 6 a)'!G133</f>
        <v>86289670.170000002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86289670.170000002</v>
      </c>
      <c r="Q126" t="str">
        <f>'Formato 6 a)'!C134</f>
        <v xml:space="preserve">                                          -  </v>
      </c>
      <c r="R126">
        <f>'Formato 6 a)'!D134</f>
        <v>86289670.170000002</v>
      </c>
      <c r="S126">
        <f>'Formato 6 a)'!E134</f>
        <v>0</v>
      </c>
      <c r="T126">
        <f>'Formato 6 a)'!F134</f>
        <v>0</v>
      </c>
      <c r="U126">
        <f>'Formato 6 a)'!G134</f>
        <v>86289670.170000002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4744000</v>
      </c>
      <c r="Q142">
        <f>'Formato 6 a)'!C150</f>
        <v>0</v>
      </c>
      <c r="R142">
        <f>'Formato 6 a)'!D150</f>
        <v>4744000</v>
      </c>
      <c r="S142">
        <f>'Formato 6 a)'!E150</f>
        <v>2198180.25</v>
      </c>
      <c r="T142">
        <f>'Formato 6 a)'!F150</f>
        <v>2198180.25</v>
      </c>
      <c r="U142">
        <f>'Formato 6 a)'!G150</f>
        <v>2545819.75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3744000</v>
      </c>
      <c r="Q143" t="str">
        <f>'Formato 6 a)'!C151</f>
        <v xml:space="preserve">                                          -  </v>
      </c>
      <c r="R143">
        <f>'Formato 6 a)'!D151</f>
        <v>3744000</v>
      </c>
      <c r="S143">
        <f>'Formato 6 a)'!E151</f>
        <v>1872000</v>
      </c>
      <c r="T143">
        <f>'Formato 6 a)'!F151</f>
        <v>1872000</v>
      </c>
      <c r="U143">
        <f>'Formato 6 a)'!G151</f>
        <v>1872000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1000000</v>
      </c>
      <c r="Q144" t="str">
        <f>'Formato 6 a)'!C152</f>
        <v xml:space="preserve">                                          -  </v>
      </c>
      <c r="R144">
        <f>'Formato 6 a)'!D152</f>
        <v>1000000</v>
      </c>
      <c r="S144">
        <f>'Formato 6 a)'!E152</f>
        <v>326180.25</v>
      </c>
      <c r="T144">
        <f>'Formato 6 a)'!F152</f>
        <v>326180.25</v>
      </c>
      <c r="U144">
        <f>'Formato 6 a)'!G152</f>
        <v>673819.75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614900221.34000003</v>
      </c>
      <c r="Q150">
        <f>'Formato 6 a)'!C159</f>
        <v>0</v>
      </c>
      <c r="R150">
        <f>'Formato 6 a)'!D159</f>
        <v>614900221.34000003</v>
      </c>
      <c r="S150">
        <f>'Formato 6 a)'!E159</f>
        <v>236253910.10999998</v>
      </c>
      <c r="T150">
        <f>'Formato 6 a)'!F159</f>
        <v>217332757.21000001</v>
      </c>
      <c r="U150">
        <f>'Formato 6 a)'!G159</f>
        <v>378646311.22999996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83"/>
  <sheetViews>
    <sheetView showGridLines="0" topLeftCell="A40" zoomScale="90" zoomScaleNormal="90" workbookViewId="0">
      <selection activeCell="A54" sqref="A5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1" t="s">
        <v>3282</v>
      </c>
      <c r="B1" s="161"/>
      <c r="C1" s="161"/>
      <c r="D1" s="161"/>
      <c r="E1" s="161"/>
      <c r="F1" s="161"/>
      <c r="G1" s="161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5" t="s">
        <v>277</v>
      </c>
      <c r="B3" s="146"/>
      <c r="C3" s="146"/>
      <c r="D3" s="146"/>
      <c r="E3" s="146"/>
      <c r="F3" s="146"/>
      <c r="G3" s="147"/>
    </row>
    <row r="4" spans="1:7" x14ac:dyDescent="0.25">
      <c r="A4" s="145" t="s">
        <v>431</v>
      </c>
      <c r="B4" s="146"/>
      <c r="C4" s="146"/>
      <c r="D4" s="146"/>
      <c r="E4" s="146"/>
      <c r="F4" s="146"/>
      <c r="G4" s="147"/>
    </row>
    <row r="5" spans="1:7" ht="14.25" x14ac:dyDescent="0.45">
      <c r="A5" s="148" t="str">
        <f>TRIMESTRE</f>
        <v>Del 1 de enero al 30 de junio de 2021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57" t="s">
        <v>0</v>
      </c>
      <c r="B7" s="159" t="s">
        <v>279</v>
      </c>
      <c r="C7" s="159"/>
      <c r="D7" s="159"/>
      <c r="E7" s="159"/>
      <c r="F7" s="159"/>
      <c r="G7" s="163" t="s">
        <v>280</v>
      </c>
    </row>
    <row r="8" spans="1:7" ht="30" x14ac:dyDescent="0.25">
      <c r="A8" s="158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162"/>
    </row>
    <row r="9" spans="1:7" x14ac:dyDescent="0.25">
      <c r="A9" s="50" t="s">
        <v>432</v>
      </c>
      <c r="B9" s="135">
        <f>SUM(B10:GASTO_NE_FIN_01)</f>
        <v>395832136.86000013</v>
      </c>
      <c r="C9" s="135">
        <f>SUM(C10:GASTO_NE_FIN_02)</f>
        <v>0</v>
      </c>
      <c r="D9" s="135">
        <f>SUM(D10:GASTO_NE_FIN_03)</f>
        <v>395832136.86000013</v>
      </c>
      <c r="E9" s="135">
        <f>SUM(E10:GASTO_NE_FIN_04)</f>
        <v>179640600.1500001</v>
      </c>
      <c r="F9" s="135">
        <f>SUM(F10:GASTO_NE_FIN_05)</f>
        <v>160736270.88</v>
      </c>
      <c r="G9" s="135">
        <f>SUM(G10:GASTO_NE_FIN_06)</f>
        <v>216191536.70999998</v>
      </c>
    </row>
    <row r="10" spans="1:7" s="23" customFormat="1" x14ac:dyDescent="0.25">
      <c r="A10" s="130" t="s">
        <v>3300</v>
      </c>
      <c r="B10" s="136">
        <v>6419424.6799999997</v>
      </c>
      <c r="C10" s="136">
        <v>0</v>
      </c>
      <c r="D10" s="136">
        <v>6419424.6799999997</v>
      </c>
      <c r="E10" s="136">
        <v>2341111.9500000002</v>
      </c>
      <c r="F10" s="136">
        <v>2303727.09</v>
      </c>
      <c r="G10" s="136">
        <f>D10-E10</f>
        <v>4078312.7299999995</v>
      </c>
    </row>
    <row r="11" spans="1:7" s="23" customFormat="1" x14ac:dyDescent="0.25">
      <c r="A11" s="130" t="s">
        <v>3301</v>
      </c>
      <c r="B11" s="136">
        <v>19791997.399999999</v>
      </c>
      <c r="C11" s="136">
        <v>0</v>
      </c>
      <c r="D11" s="136">
        <v>19791997.399999999</v>
      </c>
      <c r="E11" s="136">
        <v>7745325.4699999997</v>
      </c>
      <c r="F11" s="136">
        <v>7737989.3300000001</v>
      </c>
      <c r="G11" s="136">
        <f t="shared" ref="G11:G63" si="0">D11-E11</f>
        <v>12046671.93</v>
      </c>
    </row>
    <row r="12" spans="1:7" s="23" customFormat="1" x14ac:dyDescent="0.25">
      <c r="A12" s="130" t="s">
        <v>3302</v>
      </c>
      <c r="B12" s="136">
        <v>12464663.4</v>
      </c>
      <c r="C12" s="136">
        <v>0</v>
      </c>
      <c r="D12" s="136">
        <v>12464663.4</v>
      </c>
      <c r="E12" s="136">
        <v>4589727.04</v>
      </c>
      <c r="F12" s="136">
        <v>4214215.78</v>
      </c>
      <c r="G12" s="136">
        <f t="shared" si="0"/>
        <v>7874936.3600000003</v>
      </c>
    </row>
    <row r="13" spans="1:7" s="23" customFormat="1" x14ac:dyDescent="0.25">
      <c r="A13" s="130" t="s">
        <v>3303</v>
      </c>
      <c r="B13" s="136">
        <v>840469.61</v>
      </c>
      <c r="C13" s="136">
        <v>0</v>
      </c>
      <c r="D13" s="136">
        <v>840469.61</v>
      </c>
      <c r="E13" s="136">
        <v>312827.40000000002</v>
      </c>
      <c r="F13" s="136">
        <v>293518.24</v>
      </c>
      <c r="G13" s="136">
        <f t="shared" si="0"/>
        <v>527642.21</v>
      </c>
    </row>
    <row r="14" spans="1:7" s="23" customFormat="1" x14ac:dyDescent="0.25">
      <c r="A14" s="130" t="s">
        <v>3304</v>
      </c>
      <c r="B14" s="136">
        <v>1209654.4099999999</v>
      </c>
      <c r="C14" s="136">
        <v>0</v>
      </c>
      <c r="D14" s="136">
        <v>1209654.4099999999</v>
      </c>
      <c r="E14" s="136">
        <v>324310.51</v>
      </c>
      <c r="F14" s="136">
        <v>321980.15999999997</v>
      </c>
      <c r="G14" s="136">
        <f t="shared" si="0"/>
        <v>885343.89999999991</v>
      </c>
    </row>
    <row r="15" spans="1:7" s="23" customFormat="1" x14ac:dyDescent="0.25">
      <c r="A15" s="130" t="s">
        <v>3305</v>
      </c>
      <c r="B15" s="136">
        <v>7354806.9400000004</v>
      </c>
      <c r="C15" s="136">
        <v>0</v>
      </c>
      <c r="D15" s="136">
        <v>7354806.9400000004</v>
      </c>
      <c r="E15" s="136">
        <v>1700256.5</v>
      </c>
      <c r="F15" s="136">
        <v>1665779.85</v>
      </c>
      <c r="G15" s="136">
        <f t="shared" si="0"/>
        <v>5654550.4400000004</v>
      </c>
    </row>
    <row r="16" spans="1:7" s="23" customFormat="1" x14ac:dyDescent="0.25">
      <c r="A16" s="137" t="s">
        <v>3309</v>
      </c>
      <c r="B16" s="136">
        <v>6702734.4699999997</v>
      </c>
      <c r="C16" s="136">
        <v>0</v>
      </c>
      <c r="D16" s="136">
        <v>6702734.4699999997</v>
      </c>
      <c r="E16" s="136">
        <v>1742986.78</v>
      </c>
      <c r="F16" s="136">
        <v>1717036.03</v>
      </c>
      <c r="G16" s="136">
        <f t="shared" si="0"/>
        <v>4959747.6899999995</v>
      </c>
    </row>
    <row r="17" spans="1:7" s="23" customFormat="1" x14ac:dyDescent="0.25">
      <c r="A17" s="137" t="s">
        <v>3311</v>
      </c>
      <c r="B17" s="136">
        <v>468863.42</v>
      </c>
      <c r="C17" s="136">
        <v>0</v>
      </c>
      <c r="D17" s="136">
        <v>468863.42</v>
      </c>
      <c r="E17" s="136">
        <v>74476.899999999994</v>
      </c>
      <c r="F17" s="136">
        <v>72232.14</v>
      </c>
      <c r="G17" s="136">
        <f t="shared" si="0"/>
        <v>394386.52</v>
      </c>
    </row>
    <row r="18" spans="1:7" s="23" customFormat="1" x14ac:dyDescent="0.25">
      <c r="A18" s="137" t="s">
        <v>3312</v>
      </c>
      <c r="B18" s="136">
        <v>1648067.13</v>
      </c>
      <c r="C18" s="136">
        <v>0</v>
      </c>
      <c r="D18" s="136">
        <v>1648067.13</v>
      </c>
      <c r="E18" s="136">
        <v>525548.59</v>
      </c>
      <c r="F18" s="136">
        <v>523843.1</v>
      </c>
      <c r="G18" s="136">
        <f t="shared" si="0"/>
        <v>1122518.54</v>
      </c>
    </row>
    <row r="19" spans="1:7" s="23" customFormat="1" x14ac:dyDescent="0.25">
      <c r="A19" s="137" t="s">
        <v>3313</v>
      </c>
      <c r="B19" s="136">
        <v>635927.55000000005</v>
      </c>
      <c r="C19" s="136">
        <v>0</v>
      </c>
      <c r="D19" s="136">
        <v>635927.55000000005</v>
      </c>
      <c r="E19" s="136">
        <v>222856.07</v>
      </c>
      <c r="F19" s="136">
        <v>222856.07</v>
      </c>
      <c r="G19" s="136">
        <f t="shared" si="0"/>
        <v>413071.48000000004</v>
      </c>
    </row>
    <row r="20" spans="1:7" s="23" customFormat="1" x14ac:dyDescent="0.25">
      <c r="A20" s="137" t="s">
        <v>3314</v>
      </c>
      <c r="B20" s="136">
        <v>959044.79</v>
      </c>
      <c r="C20" s="136">
        <v>0</v>
      </c>
      <c r="D20" s="136">
        <v>959044.79</v>
      </c>
      <c r="E20" s="136">
        <v>396108.35</v>
      </c>
      <c r="F20" s="136">
        <v>389345.26</v>
      </c>
      <c r="G20" s="136">
        <f t="shared" si="0"/>
        <v>562936.44000000006</v>
      </c>
    </row>
    <row r="21" spans="1:7" s="23" customFormat="1" x14ac:dyDescent="0.25">
      <c r="A21" s="137" t="s">
        <v>3316</v>
      </c>
      <c r="B21" s="136">
        <v>36265297.899999999</v>
      </c>
      <c r="C21" s="136">
        <v>0</v>
      </c>
      <c r="D21" s="136">
        <v>36265297.899999999</v>
      </c>
      <c r="E21" s="136">
        <v>18765101.359999999</v>
      </c>
      <c r="F21" s="136">
        <v>18127464.870000001</v>
      </c>
      <c r="G21" s="136">
        <f t="shared" si="0"/>
        <v>17500196.539999999</v>
      </c>
    </row>
    <row r="22" spans="1:7" s="23" customFormat="1" x14ac:dyDescent="0.25">
      <c r="A22" s="137" t="s">
        <v>3317</v>
      </c>
      <c r="B22" s="136">
        <v>2673541.0299999998</v>
      </c>
      <c r="C22" s="136">
        <v>0</v>
      </c>
      <c r="D22" s="136">
        <v>2673541.0299999998</v>
      </c>
      <c r="E22" s="136">
        <v>989682.99</v>
      </c>
      <c r="F22" s="136">
        <v>942473.12</v>
      </c>
      <c r="G22" s="136">
        <f t="shared" si="0"/>
        <v>1683858.0399999998</v>
      </c>
    </row>
    <row r="23" spans="1:7" s="23" customFormat="1" x14ac:dyDescent="0.25">
      <c r="A23" s="137" t="s">
        <v>3318</v>
      </c>
      <c r="B23" s="136">
        <v>3474456.89</v>
      </c>
      <c r="C23" s="136">
        <v>0</v>
      </c>
      <c r="D23" s="136">
        <v>3474456.89</v>
      </c>
      <c r="E23" s="136">
        <v>1407983.25</v>
      </c>
      <c r="F23" s="136">
        <v>1370124.11</v>
      </c>
      <c r="G23" s="136">
        <f t="shared" si="0"/>
        <v>2066473.6400000001</v>
      </c>
    </row>
    <row r="24" spans="1:7" s="23" customFormat="1" x14ac:dyDescent="0.25">
      <c r="A24" s="137" t="s">
        <v>3319</v>
      </c>
      <c r="B24" s="136">
        <v>3681889.61</v>
      </c>
      <c r="C24" s="136">
        <v>0</v>
      </c>
      <c r="D24" s="136">
        <v>3681889.61</v>
      </c>
      <c r="E24" s="136">
        <v>1188056.25</v>
      </c>
      <c r="F24" s="136">
        <v>1133744.99</v>
      </c>
      <c r="G24" s="136">
        <f t="shared" si="0"/>
        <v>2493833.36</v>
      </c>
    </row>
    <row r="25" spans="1:7" s="23" customFormat="1" x14ac:dyDescent="0.25">
      <c r="A25" s="137" t="s">
        <v>3320</v>
      </c>
      <c r="B25" s="136">
        <v>98432202.75</v>
      </c>
      <c r="C25" s="136">
        <v>0</v>
      </c>
      <c r="D25" s="136">
        <v>98432202.75</v>
      </c>
      <c r="E25" s="136">
        <v>56384546.920000002</v>
      </c>
      <c r="F25" s="136">
        <v>56355651.850000001</v>
      </c>
      <c r="G25" s="136">
        <f t="shared" si="0"/>
        <v>42047655.829999998</v>
      </c>
    </row>
    <row r="26" spans="1:7" s="23" customFormat="1" x14ac:dyDescent="0.25">
      <c r="A26" s="137" t="s">
        <v>3321</v>
      </c>
      <c r="B26" s="136">
        <v>44882676.75</v>
      </c>
      <c r="C26" s="136">
        <v>0</v>
      </c>
      <c r="D26" s="136">
        <v>44882676.75</v>
      </c>
      <c r="E26" s="136">
        <v>26171756.559999999</v>
      </c>
      <c r="F26" s="136">
        <v>10216550.58</v>
      </c>
      <c r="G26" s="136">
        <f t="shared" si="0"/>
        <v>18710920.190000001</v>
      </c>
    </row>
    <row r="27" spans="1:7" s="23" customFormat="1" x14ac:dyDescent="0.25">
      <c r="A27" s="137" t="s">
        <v>3322</v>
      </c>
      <c r="B27" s="136">
        <v>3855725.22</v>
      </c>
      <c r="C27" s="136">
        <v>0</v>
      </c>
      <c r="D27" s="136">
        <v>3855725.22</v>
      </c>
      <c r="E27" s="136">
        <v>1437756.36</v>
      </c>
      <c r="F27" s="136">
        <v>1393897.52</v>
      </c>
      <c r="G27" s="136">
        <f t="shared" si="0"/>
        <v>2417968.8600000003</v>
      </c>
    </row>
    <row r="28" spans="1:7" s="23" customFormat="1" x14ac:dyDescent="0.25">
      <c r="A28" s="137" t="s">
        <v>3327</v>
      </c>
      <c r="B28" s="136">
        <v>3570644.92</v>
      </c>
      <c r="C28" s="136">
        <v>0</v>
      </c>
      <c r="D28" s="136">
        <v>3570644.92</v>
      </c>
      <c r="E28" s="136">
        <v>1171759.81</v>
      </c>
      <c r="F28" s="136">
        <v>1116540.99</v>
      </c>
      <c r="G28" s="136">
        <f t="shared" si="0"/>
        <v>2398885.11</v>
      </c>
    </row>
    <row r="29" spans="1:7" s="23" customFormat="1" x14ac:dyDescent="0.25">
      <c r="A29" s="137" t="s">
        <v>3328</v>
      </c>
      <c r="B29" s="136">
        <v>16833681.010000002</v>
      </c>
      <c r="C29" s="136">
        <v>0</v>
      </c>
      <c r="D29" s="136">
        <v>16833681.010000002</v>
      </c>
      <c r="E29" s="136">
        <v>7646604.21</v>
      </c>
      <c r="F29" s="136">
        <v>7628710.2800000003</v>
      </c>
      <c r="G29" s="136">
        <f t="shared" si="0"/>
        <v>9187076.8000000007</v>
      </c>
    </row>
    <row r="30" spans="1:7" s="23" customFormat="1" x14ac:dyDescent="0.25">
      <c r="A30" s="137" t="s">
        <v>3329</v>
      </c>
      <c r="B30" s="136">
        <v>5677881.9199999999</v>
      </c>
      <c r="C30" s="136">
        <v>0</v>
      </c>
      <c r="D30" s="136">
        <v>5677881.9199999999</v>
      </c>
      <c r="E30" s="136">
        <v>1830917.4</v>
      </c>
      <c r="F30" s="136">
        <v>1778186.9</v>
      </c>
      <c r="G30" s="136">
        <f t="shared" si="0"/>
        <v>3846964.52</v>
      </c>
    </row>
    <row r="31" spans="1:7" s="23" customFormat="1" x14ac:dyDescent="0.25">
      <c r="A31" s="137" t="s">
        <v>3331</v>
      </c>
      <c r="B31" s="136">
        <v>4358332.55</v>
      </c>
      <c r="C31" s="136">
        <v>0</v>
      </c>
      <c r="D31" s="136">
        <v>4358332.55</v>
      </c>
      <c r="E31" s="136">
        <v>1567854.7</v>
      </c>
      <c r="F31" s="136">
        <v>1519484.48</v>
      </c>
      <c r="G31" s="136">
        <f t="shared" si="0"/>
        <v>2790477.8499999996</v>
      </c>
    </row>
    <row r="32" spans="1:7" s="23" customFormat="1" x14ac:dyDescent="0.25">
      <c r="A32" s="137" t="s">
        <v>3332</v>
      </c>
      <c r="B32" s="136">
        <v>2539041.37</v>
      </c>
      <c r="C32" s="136">
        <v>0</v>
      </c>
      <c r="D32" s="136">
        <v>2539041.37</v>
      </c>
      <c r="E32" s="136">
        <v>1094296.44</v>
      </c>
      <c r="F32" s="136">
        <v>1061090.1399999999</v>
      </c>
      <c r="G32" s="136">
        <f t="shared" si="0"/>
        <v>1444744.9300000002</v>
      </c>
    </row>
    <row r="33" spans="1:7" s="23" customFormat="1" x14ac:dyDescent="0.25">
      <c r="A33" s="137" t="s">
        <v>3333</v>
      </c>
      <c r="B33" s="136">
        <v>10005303.880000001</v>
      </c>
      <c r="C33" s="136">
        <v>0</v>
      </c>
      <c r="D33" s="136">
        <v>10005303.880000001</v>
      </c>
      <c r="E33" s="136">
        <v>5537606.9000000004</v>
      </c>
      <c r="F33" s="136">
        <v>5529434.3499999996</v>
      </c>
      <c r="G33" s="136">
        <f t="shared" si="0"/>
        <v>4467696.9800000004</v>
      </c>
    </row>
    <row r="34" spans="1:7" s="23" customFormat="1" x14ac:dyDescent="0.25">
      <c r="A34" s="137" t="s">
        <v>3336</v>
      </c>
      <c r="B34" s="136">
        <v>1952567.56</v>
      </c>
      <c r="C34" s="136">
        <v>0</v>
      </c>
      <c r="D34" s="136">
        <v>1952567.56</v>
      </c>
      <c r="E34" s="136">
        <v>864032.85</v>
      </c>
      <c r="F34" s="136">
        <v>851905.16</v>
      </c>
      <c r="G34" s="136">
        <f t="shared" si="0"/>
        <v>1088534.71</v>
      </c>
    </row>
    <row r="35" spans="1:7" s="23" customFormat="1" x14ac:dyDescent="0.25">
      <c r="A35" s="137" t="s">
        <v>3338</v>
      </c>
      <c r="B35" s="136">
        <v>6831285.5199999996</v>
      </c>
      <c r="C35" s="136">
        <v>0</v>
      </c>
      <c r="D35" s="136">
        <v>6831285.5199999996</v>
      </c>
      <c r="E35" s="136">
        <v>1900878.7</v>
      </c>
      <c r="F35" s="136">
        <v>1886001.22</v>
      </c>
      <c r="G35" s="136">
        <f t="shared" si="0"/>
        <v>4930406.8199999994</v>
      </c>
    </row>
    <row r="36" spans="1:7" s="23" customFormat="1" x14ac:dyDescent="0.25">
      <c r="A36" s="137" t="s">
        <v>3339</v>
      </c>
      <c r="B36" s="136">
        <v>6429627.4800000004</v>
      </c>
      <c r="C36" s="136">
        <v>0</v>
      </c>
      <c r="D36" s="136">
        <v>6429627.4800000004</v>
      </c>
      <c r="E36" s="136">
        <v>3423403.86</v>
      </c>
      <c r="F36" s="136">
        <v>3408253.19</v>
      </c>
      <c r="G36" s="136">
        <f t="shared" si="0"/>
        <v>3006223.6200000006</v>
      </c>
    </row>
    <row r="37" spans="1:7" s="23" customFormat="1" x14ac:dyDescent="0.25">
      <c r="A37" s="137" t="s">
        <v>3340</v>
      </c>
      <c r="B37" s="136">
        <v>752885.66</v>
      </c>
      <c r="C37" s="136">
        <v>0</v>
      </c>
      <c r="D37" s="136">
        <v>752885.66</v>
      </c>
      <c r="E37" s="136">
        <v>249215.38</v>
      </c>
      <c r="F37" s="136">
        <v>241469.24</v>
      </c>
      <c r="G37" s="136">
        <f t="shared" si="0"/>
        <v>503670.28</v>
      </c>
    </row>
    <row r="38" spans="1:7" s="23" customFormat="1" x14ac:dyDescent="0.25">
      <c r="A38" s="137" t="s">
        <v>3341</v>
      </c>
      <c r="B38" s="136">
        <v>5466320.1600000001</v>
      </c>
      <c r="C38" s="136">
        <v>0</v>
      </c>
      <c r="D38" s="136">
        <v>5466320.1600000001</v>
      </c>
      <c r="E38" s="136">
        <v>2154619.9700000002</v>
      </c>
      <c r="F38" s="136">
        <v>2122620.21</v>
      </c>
      <c r="G38" s="136">
        <f t="shared" si="0"/>
        <v>3311700.19</v>
      </c>
    </row>
    <row r="39" spans="1:7" s="23" customFormat="1" x14ac:dyDescent="0.25">
      <c r="A39" s="137" t="s">
        <v>3342</v>
      </c>
      <c r="B39" s="136">
        <v>1895213.45</v>
      </c>
      <c r="C39" s="136">
        <v>0</v>
      </c>
      <c r="D39" s="136">
        <v>1895213.45</v>
      </c>
      <c r="E39" s="136">
        <v>1103752.8400000001</v>
      </c>
      <c r="F39" s="136">
        <v>1065291.9099999999</v>
      </c>
      <c r="G39" s="136">
        <f t="shared" si="0"/>
        <v>791460.60999999987</v>
      </c>
    </row>
    <row r="40" spans="1:7" s="23" customFormat="1" x14ac:dyDescent="0.25">
      <c r="A40" s="137" t="s">
        <v>3343</v>
      </c>
      <c r="B40" s="136">
        <v>2956260.66</v>
      </c>
      <c r="C40" s="136">
        <v>0</v>
      </c>
      <c r="D40" s="136">
        <v>2956260.66</v>
      </c>
      <c r="E40" s="136">
        <v>1302162.82</v>
      </c>
      <c r="F40" s="136">
        <v>1274434.0900000001</v>
      </c>
      <c r="G40" s="136">
        <f t="shared" si="0"/>
        <v>1654097.84</v>
      </c>
    </row>
    <row r="41" spans="1:7" s="23" customFormat="1" x14ac:dyDescent="0.25">
      <c r="A41" s="137" t="s">
        <v>3344</v>
      </c>
      <c r="B41" s="136">
        <v>4641500</v>
      </c>
      <c r="C41" s="136">
        <v>0</v>
      </c>
      <c r="D41" s="136">
        <v>4641500</v>
      </c>
      <c r="E41" s="136">
        <v>1485394.94</v>
      </c>
      <c r="F41" s="136">
        <v>1338332.8700000001</v>
      </c>
      <c r="G41" s="136">
        <f t="shared" si="0"/>
        <v>3156105.06</v>
      </c>
    </row>
    <row r="42" spans="1:7" s="23" customFormat="1" x14ac:dyDescent="0.25">
      <c r="A42" s="137" t="s">
        <v>3345</v>
      </c>
      <c r="B42" s="136">
        <v>735000</v>
      </c>
      <c r="C42" s="136">
        <v>0</v>
      </c>
      <c r="D42" s="136">
        <v>735000</v>
      </c>
      <c r="E42" s="136">
        <v>62629.86</v>
      </c>
      <c r="F42" s="136">
        <v>28162.87</v>
      </c>
      <c r="G42" s="136">
        <f t="shared" si="0"/>
        <v>672370.14</v>
      </c>
    </row>
    <row r="43" spans="1:7" s="23" customFormat="1" x14ac:dyDescent="0.25">
      <c r="A43" s="137" t="s">
        <v>3346</v>
      </c>
      <c r="B43" s="136">
        <v>250000</v>
      </c>
      <c r="C43" s="136">
        <v>0</v>
      </c>
      <c r="D43" s="136">
        <v>250000</v>
      </c>
      <c r="E43" s="136">
        <v>6953.06</v>
      </c>
      <c r="F43" s="136">
        <v>6953.06</v>
      </c>
      <c r="G43" s="136">
        <f t="shared" si="0"/>
        <v>243046.94</v>
      </c>
    </row>
    <row r="44" spans="1:7" s="23" customFormat="1" x14ac:dyDescent="0.25">
      <c r="A44" s="137" t="s">
        <v>3347</v>
      </c>
      <c r="B44" s="136">
        <v>201500</v>
      </c>
      <c r="C44" s="136">
        <v>0</v>
      </c>
      <c r="D44" s="136">
        <v>201500</v>
      </c>
      <c r="E44" s="136">
        <v>96365.83</v>
      </c>
      <c r="F44" s="136">
        <v>96169.83</v>
      </c>
      <c r="G44" s="136">
        <f t="shared" si="0"/>
        <v>105134.17</v>
      </c>
    </row>
    <row r="45" spans="1:7" s="23" customFormat="1" x14ac:dyDescent="0.25">
      <c r="A45" s="137" t="s">
        <v>3348</v>
      </c>
      <c r="B45" s="136">
        <v>366000</v>
      </c>
      <c r="C45" s="136">
        <v>0</v>
      </c>
      <c r="D45" s="136">
        <v>366000</v>
      </c>
      <c r="E45" s="136">
        <v>116533.17</v>
      </c>
      <c r="F45" s="136">
        <v>54482.95</v>
      </c>
      <c r="G45" s="136">
        <f t="shared" si="0"/>
        <v>249466.83000000002</v>
      </c>
    </row>
    <row r="46" spans="1:7" s="23" customFormat="1" x14ac:dyDescent="0.25">
      <c r="A46" s="137" t="s">
        <v>3352</v>
      </c>
      <c r="B46" s="136">
        <v>1741395.02</v>
      </c>
      <c r="C46" s="136">
        <v>0</v>
      </c>
      <c r="D46" s="136">
        <v>1741395.02</v>
      </c>
      <c r="E46" s="136">
        <v>335960.05</v>
      </c>
      <c r="F46" s="136">
        <v>311997.51</v>
      </c>
      <c r="G46" s="136">
        <f t="shared" si="0"/>
        <v>1405434.97</v>
      </c>
    </row>
    <row r="47" spans="1:7" s="23" customFormat="1" x14ac:dyDescent="0.25">
      <c r="A47" s="137" t="s">
        <v>3353</v>
      </c>
      <c r="B47" s="136">
        <v>1405734.48</v>
      </c>
      <c r="C47" s="136">
        <v>0</v>
      </c>
      <c r="D47" s="136">
        <v>1405734.48</v>
      </c>
      <c r="E47" s="136">
        <v>448410.93</v>
      </c>
      <c r="F47" s="136">
        <v>445110.57</v>
      </c>
      <c r="G47" s="136">
        <f t="shared" si="0"/>
        <v>957323.55</v>
      </c>
    </row>
    <row r="48" spans="1:7" s="23" customFormat="1" x14ac:dyDescent="0.25">
      <c r="A48" s="137" t="s">
        <v>3306</v>
      </c>
      <c r="B48" s="136">
        <v>1762658.63</v>
      </c>
      <c r="C48" s="136">
        <v>0</v>
      </c>
      <c r="D48" s="136">
        <v>1762658.63</v>
      </c>
      <c r="E48" s="136">
        <v>444697.36</v>
      </c>
      <c r="F48" s="136">
        <v>442399.83</v>
      </c>
      <c r="G48" s="136">
        <f t="shared" si="0"/>
        <v>1317961.27</v>
      </c>
    </row>
    <row r="49" spans="1:7" s="23" customFormat="1" x14ac:dyDescent="0.25">
      <c r="A49" s="137" t="s">
        <v>3308</v>
      </c>
      <c r="B49" s="136">
        <v>3508526.79</v>
      </c>
      <c r="C49" s="136">
        <v>0</v>
      </c>
      <c r="D49" s="136">
        <v>3508526.79</v>
      </c>
      <c r="E49" s="136">
        <v>1214417.28</v>
      </c>
      <c r="F49" s="136">
        <v>1209885.79</v>
      </c>
      <c r="G49" s="136">
        <f t="shared" si="0"/>
        <v>2294109.5099999998</v>
      </c>
    </row>
    <row r="50" spans="1:7" s="23" customFormat="1" x14ac:dyDescent="0.25">
      <c r="A50" s="137" t="s">
        <v>3323</v>
      </c>
      <c r="B50" s="136">
        <v>2899518.03</v>
      </c>
      <c r="C50" s="136">
        <v>0</v>
      </c>
      <c r="D50" s="136">
        <v>2899518.03</v>
      </c>
      <c r="E50" s="136">
        <v>1474694.64</v>
      </c>
      <c r="F50" s="136">
        <v>1413938.48</v>
      </c>
      <c r="G50" s="136">
        <f t="shared" si="0"/>
        <v>1424823.39</v>
      </c>
    </row>
    <row r="51" spans="1:7" s="23" customFormat="1" x14ac:dyDescent="0.25">
      <c r="A51" s="137" t="s">
        <v>3324</v>
      </c>
      <c r="B51" s="136">
        <v>2926595.2</v>
      </c>
      <c r="C51" s="136">
        <v>0</v>
      </c>
      <c r="D51" s="136">
        <v>2926595.2</v>
      </c>
      <c r="E51" s="136">
        <v>1015074.99</v>
      </c>
      <c r="F51" s="136">
        <v>864215.68</v>
      </c>
      <c r="G51" s="136">
        <f t="shared" si="0"/>
        <v>1911520.2100000002</v>
      </c>
    </row>
    <row r="52" spans="1:7" s="23" customFormat="1" x14ac:dyDescent="0.25">
      <c r="A52" s="137" t="s">
        <v>3325</v>
      </c>
      <c r="B52" s="136">
        <v>855173.62</v>
      </c>
      <c r="C52" s="136">
        <v>0</v>
      </c>
      <c r="D52" s="136">
        <v>855173.62</v>
      </c>
      <c r="E52" s="136">
        <v>158649.12</v>
      </c>
      <c r="F52" s="136">
        <v>154862.54</v>
      </c>
      <c r="G52" s="136">
        <f t="shared" si="0"/>
        <v>696524.5</v>
      </c>
    </row>
    <row r="53" spans="1:7" s="23" customFormat="1" x14ac:dyDescent="0.25">
      <c r="A53" s="137" t="s">
        <v>3349</v>
      </c>
      <c r="B53" s="136">
        <v>115000</v>
      </c>
      <c r="C53" s="136">
        <v>0</v>
      </c>
      <c r="D53" s="136">
        <v>115000</v>
      </c>
      <c r="E53" s="136">
        <v>39039.93</v>
      </c>
      <c r="F53" s="136">
        <v>10082.24</v>
      </c>
      <c r="G53" s="136">
        <f t="shared" si="0"/>
        <v>75960.070000000007</v>
      </c>
    </row>
    <row r="54" spans="1:7" s="23" customFormat="1" x14ac:dyDescent="0.25">
      <c r="A54" s="137" t="s">
        <v>3315</v>
      </c>
      <c r="B54" s="136">
        <v>473635.69</v>
      </c>
      <c r="C54" s="136">
        <v>0</v>
      </c>
      <c r="D54" s="136">
        <v>473635.69</v>
      </c>
      <c r="E54" s="136">
        <v>179754.28</v>
      </c>
      <c r="F54" s="136">
        <v>175903.81</v>
      </c>
      <c r="G54" s="136">
        <f t="shared" si="0"/>
        <v>293881.41000000003</v>
      </c>
    </row>
    <row r="55" spans="1:7" s="23" customFormat="1" x14ac:dyDescent="0.25">
      <c r="A55" s="137" t="s">
        <v>3326</v>
      </c>
      <c r="B55" s="136">
        <v>7642412.2599999998</v>
      </c>
      <c r="C55" s="136">
        <v>0</v>
      </c>
      <c r="D55" s="136">
        <v>7642412.2599999998</v>
      </c>
      <c r="E55" s="136">
        <v>3614940.52</v>
      </c>
      <c r="F55" s="136">
        <v>3152514.95</v>
      </c>
      <c r="G55" s="136">
        <f t="shared" si="0"/>
        <v>4027471.7399999998</v>
      </c>
    </row>
    <row r="56" spans="1:7" s="23" customFormat="1" x14ac:dyDescent="0.25">
      <c r="A56" s="137" t="s">
        <v>3337</v>
      </c>
      <c r="B56" s="136">
        <v>6183908.2599999998</v>
      </c>
      <c r="C56" s="136">
        <v>0</v>
      </c>
      <c r="D56" s="136">
        <v>6183908.2599999998</v>
      </c>
      <c r="E56" s="136">
        <v>1764730.56</v>
      </c>
      <c r="F56" s="136">
        <v>1699174.52</v>
      </c>
      <c r="G56" s="136">
        <f t="shared" si="0"/>
        <v>4419177.6999999993</v>
      </c>
    </row>
    <row r="57" spans="1:7" s="23" customFormat="1" x14ac:dyDescent="0.25">
      <c r="A57" s="137" t="s">
        <v>3310</v>
      </c>
      <c r="B57" s="136">
        <v>2576866.35</v>
      </c>
      <c r="C57" s="136">
        <v>0</v>
      </c>
      <c r="D57" s="136">
        <v>2576866.35</v>
      </c>
      <c r="E57" s="136">
        <v>764016.27</v>
      </c>
      <c r="F57" s="136">
        <v>758138.07</v>
      </c>
      <c r="G57" s="136">
        <f t="shared" si="0"/>
        <v>1812850.08</v>
      </c>
    </row>
    <row r="58" spans="1:7" s="23" customFormat="1" x14ac:dyDescent="0.25">
      <c r="A58" s="137" t="s">
        <v>3330</v>
      </c>
      <c r="B58" s="136">
        <v>3130971.97</v>
      </c>
      <c r="C58" s="136">
        <v>0</v>
      </c>
      <c r="D58" s="136">
        <v>3130971.97</v>
      </c>
      <c r="E58" s="136">
        <v>964912.04</v>
      </c>
      <c r="F58" s="136">
        <v>950331.87</v>
      </c>
      <c r="G58" s="136">
        <f t="shared" si="0"/>
        <v>2166059.9300000002</v>
      </c>
    </row>
    <row r="59" spans="1:7" s="23" customFormat="1" x14ac:dyDescent="0.25">
      <c r="A59" s="137" t="s">
        <v>3334</v>
      </c>
      <c r="B59" s="136">
        <v>2733178.99</v>
      </c>
      <c r="C59" s="136">
        <v>0</v>
      </c>
      <c r="D59" s="136">
        <v>2733178.99</v>
      </c>
      <c r="E59" s="136">
        <v>877561.8</v>
      </c>
      <c r="F59" s="136">
        <v>840527.89</v>
      </c>
      <c r="G59" s="136">
        <f t="shared" si="0"/>
        <v>1855617.1900000002</v>
      </c>
    </row>
    <row r="60" spans="1:7" s="23" customFormat="1" x14ac:dyDescent="0.25">
      <c r="A60" s="137" t="s">
        <v>3335</v>
      </c>
      <c r="B60" s="136">
        <v>2366366.81</v>
      </c>
      <c r="C60" s="136">
        <v>0</v>
      </c>
      <c r="D60" s="136">
        <v>2366366.81</v>
      </c>
      <c r="E60" s="136">
        <v>742465.99</v>
      </c>
      <c r="F60" s="136">
        <v>735803.48</v>
      </c>
      <c r="G60" s="136">
        <f t="shared" si="0"/>
        <v>1623900.82</v>
      </c>
    </row>
    <row r="61" spans="1:7" s="23" customFormat="1" x14ac:dyDescent="0.25">
      <c r="A61" s="130" t="s">
        <v>3350</v>
      </c>
      <c r="B61" s="136">
        <v>21725329.41</v>
      </c>
      <c r="C61" s="136">
        <v>0</v>
      </c>
      <c r="D61" s="136">
        <v>21725329.41</v>
      </c>
      <c r="E61" s="136">
        <v>5623978.5199999996</v>
      </c>
      <c r="F61" s="136">
        <v>5549579.71</v>
      </c>
      <c r="G61" s="136">
        <f t="shared" si="0"/>
        <v>16101350.890000001</v>
      </c>
    </row>
    <row r="62" spans="1:7" s="23" customFormat="1" x14ac:dyDescent="0.25">
      <c r="A62" s="137" t="s">
        <v>3351</v>
      </c>
      <c r="B62" s="136">
        <v>5390287.3799999999</v>
      </c>
      <c r="C62" s="136">
        <v>0</v>
      </c>
      <c r="D62" s="136">
        <v>5390287.3799999999</v>
      </c>
      <c r="E62" s="136">
        <v>1783697.67</v>
      </c>
      <c r="F62" s="136">
        <v>1755334.25</v>
      </c>
      <c r="G62" s="136">
        <f t="shared" si="0"/>
        <v>3606589.71</v>
      </c>
    </row>
    <row r="63" spans="1:7" s="23" customFormat="1" x14ac:dyDescent="0.25">
      <c r="A63" s="130" t="s">
        <v>3307</v>
      </c>
      <c r="B63" s="136">
        <v>1170087.8799999999</v>
      </c>
      <c r="C63" s="136">
        <v>0</v>
      </c>
      <c r="D63" s="136">
        <v>1170087.8799999999</v>
      </c>
      <c r="E63" s="136">
        <v>258196.21</v>
      </c>
      <c r="F63" s="136">
        <v>256515.86</v>
      </c>
      <c r="G63" s="136">
        <f t="shared" si="0"/>
        <v>911891.66999999993</v>
      </c>
    </row>
    <row r="64" spans="1:7" x14ac:dyDescent="0.25">
      <c r="A64" s="68" t="s">
        <v>678</v>
      </c>
      <c r="B64" s="52"/>
      <c r="C64" s="52"/>
      <c r="D64" s="52"/>
      <c r="E64" s="52"/>
      <c r="F64" s="52"/>
      <c r="G64" s="52"/>
    </row>
    <row r="65" spans="1:7" s="23" customFormat="1" x14ac:dyDescent="0.25">
      <c r="A65" s="53" t="s">
        <v>433</v>
      </c>
      <c r="B65" s="135">
        <f>SUM(B66:GASTO_E_FIN_01)</f>
        <v>219068084.47999999</v>
      </c>
      <c r="C65" s="135">
        <f>SUM(C66:GASTO_E_FIN_02)</f>
        <v>0</v>
      </c>
      <c r="D65" s="135">
        <f>SUM(D66:GASTO_E_FIN_03)</f>
        <v>219068084.47999999</v>
      </c>
      <c r="E65" s="135">
        <f>SUM(E66:GASTO_E_FIN_04)</f>
        <v>56613308.960000001</v>
      </c>
      <c r="F65" s="135">
        <f>SUM(F66:GASTO_E_FIN_05)</f>
        <v>56596485.329999998</v>
      </c>
      <c r="G65" s="135">
        <f>SUM(G66:GASTO_E_FIN_06)</f>
        <v>162454775.51999998</v>
      </c>
    </row>
    <row r="66" spans="1:7" s="23" customFormat="1" x14ac:dyDescent="0.25">
      <c r="A66" s="137" t="s">
        <v>3327</v>
      </c>
      <c r="B66" s="136">
        <v>350000</v>
      </c>
      <c r="C66" s="136">
        <v>0</v>
      </c>
      <c r="D66" s="136">
        <v>350000</v>
      </c>
      <c r="E66" s="136">
        <v>124703</v>
      </c>
      <c r="F66" s="136">
        <v>124703</v>
      </c>
      <c r="G66" s="136">
        <f t="shared" ref="G66:G79" si="1">D66-E66</f>
        <v>225297</v>
      </c>
    </row>
    <row r="67" spans="1:7" s="23" customFormat="1" x14ac:dyDescent="0.25">
      <c r="A67" s="137" t="s">
        <v>3328</v>
      </c>
      <c r="B67" s="136">
        <v>830000</v>
      </c>
      <c r="C67" s="136">
        <v>0</v>
      </c>
      <c r="D67" s="136">
        <v>830000</v>
      </c>
      <c r="E67" s="136">
        <v>811499.12</v>
      </c>
      <c r="F67" s="136">
        <v>800571.92</v>
      </c>
      <c r="G67" s="136">
        <f t="shared" si="1"/>
        <v>18500.880000000005</v>
      </c>
    </row>
    <row r="68" spans="1:7" s="23" customFormat="1" x14ac:dyDescent="0.25">
      <c r="A68" s="137" t="s">
        <v>3329</v>
      </c>
      <c r="B68" s="136">
        <v>1300000</v>
      </c>
      <c r="C68" s="136">
        <v>0</v>
      </c>
      <c r="D68" s="136">
        <v>1300000</v>
      </c>
      <c r="E68" s="136">
        <v>1271970.74</v>
      </c>
      <c r="F68" s="136">
        <v>1258887.04</v>
      </c>
      <c r="G68" s="136">
        <f t="shared" si="1"/>
        <v>28029.260000000009</v>
      </c>
    </row>
    <row r="69" spans="1:7" s="23" customFormat="1" x14ac:dyDescent="0.25">
      <c r="A69" s="137" t="s">
        <v>3331</v>
      </c>
      <c r="B69" s="136">
        <v>750000</v>
      </c>
      <c r="C69" s="136">
        <v>0</v>
      </c>
      <c r="D69" s="136">
        <v>750000</v>
      </c>
      <c r="E69" s="136">
        <v>589155.51</v>
      </c>
      <c r="F69" s="136">
        <v>499575.39</v>
      </c>
      <c r="G69" s="136">
        <f t="shared" si="1"/>
        <v>160844.49</v>
      </c>
    </row>
    <row r="70" spans="1:7" s="23" customFormat="1" x14ac:dyDescent="0.25">
      <c r="A70" s="137" t="s">
        <v>3333</v>
      </c>
      <c r="B70" s="136">
        <v>1420000</v>
      </c>
      <c r="C70" s="136">
        <v>0</v>
      </c>
      <c r="D70" s="136">
        <v>1420000</v>
      </c>
      <c r="E70" s="136">
        <v>1311739.1100000001</v>
      </c>
      <c r="F70" s="136">
        <v>1418024.28</v>
      </c>
      <c r="G70" s="136">
        <f t="shared" si="1"/>
        <v>108260.8899999999</v>
      </c>
    </row>
    <row r="71" spans="1:7" s="23" customFormat="1" x14ac:dyDescent="0.25">
      <c r="A71" s="137" t="s">
        <v>3344</v>
      </c>
      <c r="B71" s="136">
        <v>94846156.879999995</v>
      </c>
      <c r="C71" s="136">
        <v>0</v>
      </c>
      <c r="D71" s="136">
        <v>94846156.879999995</v>
      </c>
      <c r="E71" s="136">
        <v>42705527.439999998</v>
      </c>
      <c r="F71" s="136">
        <v>42707029.659999996</v>
      </c>
      <c r="G71" s="136">
        <f t="shared" si="1"/>
        <v>52140629.439999998</v>
      </c>
    </row>
    <row r="72" spans="1:7" s="23" customFormat="1" x14ac:dyDescent="0.25">
      <c r="A72" s="137" t="s">
        <v>3345</v>
      </c>
      <c r="B72" s="136">
        <v>15530662.49</v>
      </c>
      <c r="C72" s="136">
        <v>0</v>
      </c>
      <c r="D72" s="136">
        <v>15530662.49</v>
      </c>
      <c r="E72" s="136">
        <v>4204039.1399999997</v>
      </c>
      <c r="F72" s="136">
        <v>4193019.14</v>
      </c>
      <c r="G72" s="136">
        <f t="shared" si="1"/>
        <v>11326623.350000001</v>
      </c>
    </row>
    <row r="73" spans="1:7" s="23" customFormat="1" x14ac:dyDescent="0.25">
      <c r="A73" s="137" t="s">
        <v>3346</v>
      </c>
      <c r="B73" s="136">
        <v>1820357.48</v>
      </c>
      <c r="C73" s="136">
        <v>0</v>
      </c>
      <c r="D73" s="136">
        <v>1820357.48</v>
      </c>
      <c r="E73" s="136">
        <v>258846.12</v>
      </c>
      <c r="F73" s="136">
        <v>258846.12</v>
      </c>
      <c r="G73" s="136">
        <f t="shared" si="1"/>
        <v>1561511.3599999999</v>
      </c>
    </row>
    <row r="74" spans="1:7" s="23" customFormat="1" x14ac:dyDescent="0.25">
      <c r="A74" s="137" t="s">
        <v>3347</v>
      </c>
      <c r="B74" s="136">
        <v>771190.89</v>
      </c>
      <c r="C74" s="136">
        <v>0</v>
      </c>
      <c r="D74" s="136">
        <v>771190.89</v>
      </c>
      <c r="E74" s="136">
        <v>12510.98</v>
      </c>
      <c r="F74" s="136">
        <v>12510.98</v>
      </c>
      <c r="G74" s="136">
        <f t="shared" si="1"/>
        <v>758679.91</v>
      </c>
    </row>
    <row r="75" spans="1:7" s="23" customFormat="1" x14ac:dyDescent="0.25">
      <c r="A75" s="137" t="s">
        <v>3348</v>
      </c>
      <c r="B75" s="136">
        <v>5982014.5499999998</v>
      </c>
      <c r="C75" s="136">
        <v>0</v>
      </c>
      <c r="D75" s="136">
        <v>5982014.5499999998</v>
      </c>
      <c r="E75" s="136">
        <v>2317913.56</v>
      </c>
      <c r="F75" s="136">
        <v>2317913.56</v>
      </c>
      <c r="G75" s="136">
        <f t="shared" si="1"/>
        <v>3664100.9899999998</v>
      </c>
    </row>
    <row r="76" spans="1:7" s="23" customFormat="1" x14ac:dyDescent="0.25">
      <c r="A76" s="137" t="s">
        <v>3350</v>
      </c>
      <c r="B76" s="136">
        <v>4744000</v>
      </c>
      <c r="C76" s="136">
        <v>0</v>
      </c>
      <c r="D76" s="136">
        <v>4744000</v>
      </c>
      <c r="E76" s="136">
        <v>2198180.25</v>
      </c>
      <c r="F76" s="136">
        <v>2198180.25</v>
      </c>
      <c r="G76" s="136">
        <f t="shared" si="1"/>
        <v>2545819.75</v>
      </c>
    </row>
    <row r="77" spans="1:7" s="23" customFormat="1" x14ac:dyDescent="0.25">
      <c r="A77" s="137" t="s">
        <v>3349</v>
      </c>
      <c r="B77" s="136">
        <v>2063938.57</v>
      </c>
      <c r="C77" s="136">
        <v>0</v>
      </c>
      <c r="D77" s="136">
        <v>2063938.57</v>
      </c>
      <c r="E77" s="136">
        <v>603505.46</v>
      </c>
      <c r="F77" s="136">
        <v>603505.46</v>
      </c>
      <c r="G77" s="136">
        <f t="shared" si="1"/>
        <v>1460433.11</v>
      </c>
    </row>
    <row r="78" spans="1:7" s="23" customFormat="1" x14ac:dyDescent="0.25">
      <c r="A78" s="137" t="s">
        <v>3354</v>
      </c>
      <c r="B78" s="136">
        <v>2370093.4500000002</v>
      </c>
      <c r="C78" s="136">
        <v>0</v>
      </c>
      <c r="D78" s="136">
        <v>2370093.4500000002</v>
      </c>
      <c r="E78" s="136">
        <v>203718.53</v>
      </c>
      <c r="F78" s="136">
        <v>203718.53</v>
      </c>
      <c r="G78" s="136">
        <f t="shared" si="1"/>
        <v>2166374.9200000004</v>
      </c>
    </row>
    <row r="79" spans="1:7" s="23" customFormat="1" x14ac:dyDescent="0.25">
      <c r="A79" s="137" t="s">
        <v>3350</v>
      </c>
      <c r="B79" s="136">
        <v>86289670.170000002</v>
      </c>
      <c r="C79" s="136">
        <v>0</v>
      </c>
      <c r="D79" s="136">
        <v>86289670.170000002</v>
      </c>
      <c r="E79" s="136">
        <v>0</v>
      </c>
      <c r="F79" s="136">
        <v>0</v>
      </c>
      <c r="G79" s="136">
        <f t="shared" si="1"/>
        <v>86289670.170000002</v>
      </c>
    </row>
    <row r="80" spans="1:7" x14ac:dyDescent="0.25">
      <c r="A80" s="68" t="s">
        <v>678</v>
      </c>
      <c r="B80" s="52"/>
      <c r="C80" s="52"/>
      <c r="D80" s="52"/>
      <c r="E80" s="52"/>
      <c r="F80" s="52"/>
      <c r="G80" s="52"/>
    </row>
    <row r="81" spans="1:7" x14ac:dyDescent="0.25">
      <c r="A81" s="53" t="s">
        <v>360</v>
      </c>
      <c r="B81" s="135">
        <f>GASTO_NE_T1+GASTO_E_T1</f>
        <v>614900221.34000015</v>
      </c>
      <c r="C81" s="135">
        <f>GASTO_NE_T2+GASTO_E_T2</f>
        <v>0</v>
      </c>
      <c r="D81" s="135">
        <f>GASTO_NE_T3+GASTO_E_T3</f>
        <v>614900221.34000015</v>
      </c>
      <c r="E81" s="135">
        <f>GASTO_NE_T4+GASTO_E_T4</f>
        <v>236253909.1100001</v>
      </c>
      <c r="F81" s="135">
        <f>GASTO_NE_T5+GASTO_E_T5</f>
        <v>217332756.20999998</v>
      </c>
      <c r="G81" s="135">
        <f>GASTO_NE_T6+GASTO_E_T6</f>
        <v>378646312.22999996</v>
      </c>
    </row>
    <row r="82" spans="1:7" x14ac:dyDescent="0.25">
      <c r="A82" s="56"/>
      <c r="B82" s="63"/>
      <c r="C82" s="63"/>
      <c r="D82" s="63"/>
      <c r="E82" s="63"/>
      <c r="F82" s="63"/>
      <c r="G82" s="69"/>
    </row>
    <row r="83" spans="1:7" ht="14.25" hidden="1" x14ac:dyDescent="0.45">
      <c r="A83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1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395832136.86000013</v>
      </c>
      <c r="Q2" s="18">
        <f>GASTO_NE_T2</f>
        <v>0</v>
      </c>
      <c r="R2" s="18">
        <f>GASTO_NE_T3</f>
        <v>395832136.86000013</v>
      </c>
      <c r="S2" s="18">
        <f>GASTO_NE_T4</f>
        <v>179640600.1500001</v>
      </c>
      <c r="T2" s="18">
        <f>GASTO_NE_T5</f>
        <v>160736270.88</v>
      </c>
      <c r="U2" s="18">
        <f>GASTO_NE_T6</f>
        <v>216191536.70999998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219068084.47999999</v>
      </c>
      <c r="Q3" s="18">
        <f>GASTO_E_T2</f>
        <v>0</v>
      </c>
      <c r="R3" s="18">
        <f>GASTO_E_T3</f>
        <v>219068084.47999999</v>
      </c>
      <c r="S3" s="18">
        <f>GASTO_E_T4</f>
        <v>56613308.960000001</v>
      </c>
      <c r="T3" s="18">
        <f>GASTO_E_T5</f>
        <v>56596485.329999998</v>
      </c>
      <c r="U3" s="18">
        <f>GASTO_E_T6</f>
        <v>162454775.51999998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614900221.34000015</v>
      </c>
      <c r="Q4" s="18">
        <f>TOTAL_E_T2</f>
        <v>0</v>
      </c>
      <c r="R4" s="18">
        <f>TOTAL_E_T3</f>
        <v>614900221.34000015</v>
      </c>
      <c r="S4" s="18">
        <f>TOTAL_E_T4</f>
        <v>236253909.1100001</v>
      </c>
      <c r="T4" s="18">
        <f>TOTAL_E_T5</f>
        <v>217332756.20999998</v>
      </c>
      <c r="U4" s="18">
        <f>TOTAL_E_T6</f>
        <v>378646312.22999996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67" t="s">
        <v>3281</v>
      </c>
      <c r="B1" s="168"/>
      <c r="C1" s="168"/>
      <c r="D1" s="168"/>
      <c r="E1" s="168"/>
      <c r="F1" s="168"/>
      <c r="G1" s="168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5" t="s">
        <v>396</v>
      </c>
      <c r="B3" s="146"/>
      <c r="C3" s="146"/>
      <c r="D3" s="146"/>
      <c r="E3" s="146"/>
      <c r="F3" s="146"/>
      <c r="G3" s="147"/>
    </row>
    <row r="4" spans="1:7" x14ac:dyDescent="0.25">
      <c r="A4" s="145" t="s">
        <v>397</v>
      </c>
      <c r="B4" s="146"/>
      <c r="C4" s="146"/>
      <c r="D4" s="146"/>
      <c r="E4" s="146"/>
      <c r="F4" s="146"/>
      <c r="G4" s="147"/>
    </row>
    <row r="5" spans="1:7" ht="14.25" x14ac:dyDescent="0.45">
      <c r="A5" s="148" t="str">
        <f>TRIMESTRE</f>
        <v>Del 1 de enero al 30 de junio de 2021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46" t="s">
        <v>0</v>
      </c>
      <c r="B7" s="151" t="s">
        <v>279</v>
      </c>
      <c r="C7" s="152"/>
      <c r="D7" s="152"/>
      <c r="E7" s="152"/>
      <c r="F7" s="153"/>
      <c r="G7" s="163" t="s">
        <v>3278</v>
      </c>
    </row>
    <row r="8" spans="1:7" ht="30.75" customHeight="1" x14ac:dyDescent="0.25">
      <c r="A8" s="146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162"/>
    </row>
    <row r="9" spans="1:7" x14ac:dyDescent="0.25">
      <c r="A9" s="50" t="s">
        <v>363</v>
      </c>
      <c r="B9" s="135">
        <f>SUM(B10,B19,B27,B37)</f>
        <v>395832136.86000001</v>
      </c>
      <c r="C9" s="135">
        <f t="shared" ref="C9:G9" si="0">SUM(C10,C19,C27,C37)</f>
        <v>0</v>
      </c>
      <c r="D9" s="135">
        <f t="shared" si="0"/>
        <v>395832136.86000001</v>
      </c>
      <c r="E9" s="135">
        <f t="shared" si="0"/>
        <v>179640600.15000001</v>
      </c>
      <c r="F9" s="135">
        <f t="shared" si="0"/>
        <v>160736270.88</v>
      </c>
      <c r="G9" s="135">
        <f t="shared" si="0"/>
        <v>216191536.71000001</v>
      </c>
    </row>
    <row r="10" spans="1:7" x14ac:dyDescent="0.25">
      <c r="A10" s="51" t="s">
        <v>364</v>
      </c>
      <c r="B10" s="135">
        <f>SUM(B11:B18)</f>
        <v>185335476.24000001</v>
      </c>
      <c r="C10" s="135">
        <f t="shared" ref="C10:F10" si="1">SUM(C11:C18)</f>
        <v>0</v>
      </c>
      <c r="D10" s="135">
        <f t="shared" si="1"/>
        <v>185335476.24000001</v>
      </c>
      <c r="E10" s="135">
        <f t="shared" si="1"/>
        <v>81436510.180000007</v>
      </c>
      <c r="F10" s="135">
        <f t="shared" si="1"/>
        <v>63154785.530000001</v>
      </c>
      <c r="G10" s="135">
        <f>SUM(G11:G18)</f>
        <v>103898966.06</v>
      </c>
    </row>
    <row r="11" spans="1:7" x14ac:dyDescent="0.25">
      <c r="A11" s="61" t="s">
        <v>365</v>
      </c>
      <c r="B11" s="136">
        <v>2576866.35</v>
      </c>
      <c r="C11" s="136" t="s">
        <v>3299</v>
      </c>
      <c r="D11" s="136">
        <v>2576866.35</v>
      </c>
      <c r="E11" s="136">
        <v>764016.27</v>
      </c>
      <c r="F11" s="136">
        <v>758138.07</v>
      </c>
      <c r="G11" s="136">
        <f>D11-E11</f>
        <v>1812850.08</v>
      </c>
    </row>
    <row r="12" spans="1:7" x14ac:dyDescent="0.25">
      <c r="A12" s="61" t="s">
        <v>366</v>
      </c>
      <c r="B12" s="136">
        <v>1683290.1</v>
      </c>
      <c r="C12" s="136" t="s">
        <v>3299</v>
      </c>
      <c r="D12" s="136">
        <v>1683290.1</v>
      </c>
      <c r="E12" s="136">
        <v>504064.79</v>
      </c>
      <c r="F12" s="136">
        <v>497883.97</v>
      </c>
      <c r="G12" s="136">
        <f t="shared" ref="G12:G18" si="2">D12-E12</f>
        <v>1179225.31</v>
      </c>
    </row>
    <row r="13" spans="1:7" x14ac:dyDescent="0.25">
      <c r="A13" s="61" t="s">
        <v>367</v>
      </c>
      <c r="B13" s="136">
        <v>55985848.520000003</v>
      </c>
      <c r="C13" s="136" t="s">
        <v>3299</v>
      </c>
      <c r="D13" s="136">
        <v>55985848.520000003</v>
      </c>
      <c r="E13" s="136">
        <v>19654147.140000001</v>
      </c>
      <c r="F13" s="136">
        <v>19173917.34</v>
      </c>
      <c r="G13" s="136">
        <f t="shared" si="2"/>
        <v>36331701.380000003</v>
      </c>
    </row>
    <row r="14" spans="1:7" x14ac:dyDescent="0.25">
      <c r="A14" s="61" t="s">
        <v>368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f t="shared" si="2"/>
        <v>0</v>
      </c>
    </row>
    <row r="15" spans="1:7" x14ac:dyDescent="0.25">
      <c r="A15" s="61" t="s">
        <v>369</v>
      </c>
      <c r="B15" s="136">
        <v>52776472.280000001</v>
      </c>
      <c r="C15" s="136" t="s">
        <v>3299</v>
      </c>
      <c r="D15" s="136">
        <v>52776472.280000001</v>
      </c>
      <c r="E15" s="136">
        <v>24999242.600000001</v>
      </c>
      <c r="F15" s="136">
        <v>24006823.789999999</v>
      </c>
      <c r="G15" s="136">
        <f t="shared" si="2"/>
        <v>27777229.68</v>
      </c>
    </row>
    <row r="16" spans="1:7" x14ac:dyDescent="0.25">
      <c r="A16" s="61" t="s">
        <v>370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f t="shared" si="2"/>
        <v>0</v>
      </c>
    </row>
    <row r="17" spans="1:7" x14ac:dyDescent="0.25">
      <c r="A17" s="61" t="s">
        <v>371</v>
      </c>
      <c r="B17" s="136">
        <v>6309000</v>
      </c>
      <c r="C17" s="136" t="s">
        <v>3299</v>
      </c>
      <c r="D17" s="136">
        <v>6309000</v>
      </c>
      <c r="E17" s="136">
        <v>1806916.79</v>
      </c>
      <c r="F17" s="136">
        <v>1534183.82</v>
      </c>
      <c r="G17" s="136">
        <f t="shared" si="2"/>
        <v>4502083.21</v>
      </c>
    </row>
    <row r="18" spans="1:7" x14ac:dyDescent="0.25">
      <c r="A18" s="61" t="s">
        <v>372</v>
      </c>
      <c r="B18" s="136">
        <v>66003998.990000002</v>
      </c>
      <c r="C18" s="136" t="s">
        <v>3299</v>
      </c>
      <c r="D18" s="136">
        <v>66003998.990000002</v>
      </c>
      <c r="E18" s="136">
        <v>33708122.590000004</v>
      </c>
      <c r="F18" s="136">
        <v>17183838.539999999</v>
      </c>
      <c r="G18" s="136">
        <f t="shared" si="2"/>
        <v>32295876.399999999</v>
      </c>
    </row>
    <row r="19" spans="1:7" x14ac:dyDescent="0.25">
      <c r="A19" s="51" t="s">
        <v>373</v>
      </c>
      <c r="B19" s="135">
        <f>SUM(B20:B26)</f>
        <v>105880549.61</v>
      </c>
      <c r="C19" s="135">
        <f t="shared" ref="C19:F19" si="3">SUM(C20:C26)</f>
        <v>0</v>
      </c>
      <c r="D19" s="135">
        <f t="shared" si="3"/>
        <v>105880549.61</v>
      </c>
      <c r="E19" s="135">
        <f t="shared" si="3"/>
        <v>40054812.490000002</v>
      </c>
      <c r="F19" s="135">
        <f t="shared" si="3"/>
        <v>39526658.979999997</v>
      </c>
      <c r="G19" s="135">
        <f>SUM(G20:G26)</f>
        <v>65825737.120000005</v>
      </c>
    </row>
    <row r="20" spans="1:7" x14ac:dyDescent="0.25">
      <c r="A20" s="61" t="s">
        <v>374</v>
      </c>
      <c r="B20" s="136">
        <v>2366366.81</v>
      </c>
      <c r="C20" s="136" t="s">
        <v>3299</v>
      </c>
      <c r="D20" s="136">
        <v>2366366.81</v>
      </c>
      <c r="E20" s="136">
        <v>742465.99</v>
      </c>
      <c r="F20" s="136">
        <v>735803.48</v>
      </c>
      <c r="G20" s="136">
        <f>D20-E20</f>
        <v>1623900.82</v>
      </c>
    </row>
    <row r="21" spans="1:7" x14ac:dyDescent="0.25">
      <c r="A21" s="61" t="s">
        <v>375</v>
      </c>
      <c r="B21" s="136">
        <v>90049259.030000001</v>
      </c>
      <c r="C21" s="136" t="s">
        <v>3299</v>
      </c>
      <c r="D21" s="136">
        <v>90049259.030000001</v>
      </c>
      <c r="E21" s="136">
        <v>33967439.890000001</v>
      </c>
      <c r="F21" s="136">
        <v>33571401.210000001</v>
      </c>
      <c r="G21" s="136">
        <f t="shared" ref="G21:G26" si="4">D21-E21</f>
        <v>56081819.140000001</v>
      </c>
    </row>
    <row r="22" spans="1:7" x14ac:dyDescent="0.25">
      <c r="A22" s="61" t="s">
        <v>376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f t="shared" si="4"/>
        <v>0</v>
      </c>
    </row>
    <row r="23" spans="1:7" x14ac:dyDescent="0.25">
      <c r="A23" s="61" t="s">
        <v>377</v>
      </c>
      <c r="B23" s="136">
        <v>4851474.1100000003</v>
      </c>
      <c r="C23" s="136" t="s">
        <v>3299</v>
      </c>
      <c r="D23" s="136">
        <v>4851474.1100000003</v>
      </c>
      <c r="E23" s="136">
        <v>2405915.66</v>
      </c>
      <c r="F23" s="136">
        <v>2339726</v>
      </c>
      <c r="G23" s="136">
        <f t="shared" si="4"/>
        <v>2445558.4500000002</v>
      </c>
    </row>
    <row r="24" spans="1:7" x14ac:dyDescent="0.25">
      <c r="A24" s="61" t="s">
        <v>378</v>
      </c>
      <c r="B24" s="136">
        <v>5466320.1600000001</v>
      </c>
      <c r="C24" s="136" t="s">
        <v>3299</v>
      </c>
      <c r="D24" s="136">
        <v>5466320.1600000001</v>
      </c>
      <c r="E24" s="136">
        <v>2154619.9700000002</v>
      </c>
      <c r="F24" s="136">
        <v>2122620.21</v>
      </c>
      <c r="G24" s="136">
        <f t="shared" si="4"/>
        <v>3311700.19</v>
      </c>
    </row>
    <row r="25" spans="1:7" x14ac:dyDescent="0.25">
      <c r="A25" s="61" t="s">
        <v>379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f t="shared" si="4"/>
        <v>0</v>
      </c>
    </row>
    <row r="26" spans="1:7" x14ac:dyDescent="0.25">
      <c r="A26" s="61" t="s">
        <v>380</v>
      </c>
      <c r="B26" s="136">
        <v>3147129.5</v>
      </c>
      <c r="C26" s="136" t="s">
        <v>3299</v>
      </c>
      <c r="D26" s="136">
        <v>3147129.5</v>
      </c>
      <c r="E26" s="136">
        <v>784370.98</v>
      </c>
      <c r="F26" s="136">
        <v>757108.08</v>
      </c>
      <c r="G26" s="136">
        <f t="shared" si="4"/>
        <v>2362758.52</v>
      </c>
    </row>
    <row r="27" spans="1:7" x14ac:dyDescent="0.25">
      <c r="A27" s="51" t="s">
        <v>381</v>
      </c>
      <c r="B27" s="135">
        <f>SUM(B28:B36)</f>
        <v>104616111.01000001</v>
      </c>
      <c r="C27" s="135">
        <f t="shared" ref="C27:F27" si="5">SUM(C28:C36)</f>
        <v>0</v>
      </c>
      <c r="D27" s="135">
        <f t="shared" si="5"/>
        <v>104616111.01000001</v>
      </c>
      <c r="E27" s="135">
        <f t="shared" si="5"/>
        <v>58149277.479999997</v>
      </c>
      <c r="F27" s="135">
        <f t="shared" si="5"/>
        <v>58054826.369999997</v>
      </c>
      <c r="G27" s="135">
        <f>SUM(G28:G36)</f>
        <v>46466833.530000009</v>
      </c>
    </row>
    <row r="28" spans="1:7" x14ac:dyDescent="0.25">
      <c r="A28" s="65" t="s">
        <v>382</v>
      </c>
      <c r="B28" s="136">
        <v>104616111.01000001</v>
      </c>
      <c r="C28" s="136" t="s">
        <v>3299</v>
      </c>
      <c r="D28" s="136">
        <v>104616111.01000001</v>
      </c>
      <c r="E28" s="136">
        <v>58149277.479999997</v>
      </c>
      <c r="F28" s="136">
        <v>58054826.369999997</v>
      </c>
      <c r="G28" s="136">
        <f>D28-E28</f>
        <v>46466833.530000009</v>
      </c>
    </row>
    <row r="29" spans="1:7" x14ac:dyDescent="0.25">
      <c r="A29" s="61" t="s">
        <v>383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f t="shared" ref="G29:G36" si="6">D29-E29</f>
        <v>0</v>
      </c>
    </row>
    <row r="30" spans="1:7" x14ac:dyDescent="0.25">
      <c r="A30" s="61" t="s">
        <v>384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f t="shared" si="6"/>
        <v>0</v>
      </c>
    </row>
    <row r="31" spans="1:7" x14ac:dyDescent="0.25">
      <c r="A31" s="61" t="s">
        <v>385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f t="shared" si="6"/>
        <v>0</v>
      </c>
    </row>
    <row r="32" spans="1:7" x14ac:dyDescent="0.25">
      <c r="A32" s="61" t="s">
        <v>386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f t="shared" si="6"/>
        <v>0</v>
      </c>
    </row>
    <row r="33" spans="1:7" x14ac:dyDescent="0.25">
      <c r="A33" s="61" t="s">
        <v>387</v>
      </c>
      <c r="B33" s="136"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f t="shared" si="6"/>
        <v>0</v>
      </c>
    </row>
    <row r="34" spans="1:7" x14ac:dyDescent="0.25">
      <c r="A34" s="61" t="s">
        <v>388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f t="shared" si="6"/>
        <v>0</v>
      </c>
    </row>
    <row r="35" spans="1:7" x14ac:dyDescent="0.25">
      <c r="A35" s="61" t="s">
        <v>389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f t="shared" si="6"/>
        <v>0</v>
      </c>
    </row>
    <row r="36" spans="1:7" x14ac:dyDescent="0.25">
      <c r="A36" s="61" t="s">
        <v>390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f t="shared" si="6"/>
        <v>0</v>
      </c>
    </row>
    <row r="37" spans="1:7" ht="30" x14ac:dyDescent="0.25">
      <c r="A37" s="62" t="s">
        <v>398</v>
      </c>
      <c r="B37" s="135">
        <f>SUM(B38:B41)</f>
        <v>0</v>
      </c>
      <c r="C37" s="135">
        <f t="shared" ref="C37:F37" si="7">SUM(C38:C41)</f>
        <v>0</v>
      </c>
      <c r="D37" s="135">
        <f t="shared" si="7"/>
        <v>0</v>
      </c>
      <c r="E37" s="135">
        <f t="shared" si="7"/>
        <v>0</v>
      </c>
      <c r="F37" s="135">
        <f t="shared" si="7"/>
        <v>0</v>
      </c>
      <c r="G37" s="135">
        <f>SUM(G38:G41)</f>
        <v>0</v>
      </c>
    </row>
    <row r="38" spans="1:7" x14ac:dyDescent="0.25">
      <c r="A38" s="65" t="s">
        <v>391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f>D38-E38</f>
        <v>0</v>
      </c>
    </row>
    <row r="39" spans="1:7" ht="30" x14ac:dyDescent="0.25">
      <c r="A39" s="65" t="s">
        <v>392</v>
      </c>
      <c r="B39" s="136">
        <v>0</v>
      </c>
      <c r="C39" s="136">
        <v>0</v>
      </c>
      <c r="D39" s="136">
        <v>0</v>
      </c>
      <c r="E39" s="136">
        <v>0</v>
      </c>
      <c r="F39" s="136">
        <v>0</v>
      </c>
      <c r="G39" s="136">
        <f t="shared" ref="G39:G41" si="8">D39-E39</f>
        <v>0</v>
      </c>
    </row>
    <row r="40" spans="1:7" x14ac:dyDescent="0.25">
      <c r="A40" s="65" t="s">
        <v>393</v>
      </c>
      <c r="B40" s="136">
        <v>0</v>
      </c>
      <c r="C40" s="136">
        <v>0</v>
      </c>
      <c r="D40" s="136">
        <v>0</v>
      </c>
      <c r="E40" s="136">
        <v>0</v>
      </c>
      <c r="F40" s="136">
        <v>0</v>
      </c>
      <c r="G40" s="136">
        <f t="shared" si="8"/>
        <v>0</v>
      </c>
    </row>
    <row r="41" spans="1:7" x14ac:dyDescent="0.25">
      <c r="A41" s="65" t="s">
        <v>394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f t="shared" si="8"/>
        <v>0</v>
      </c>
    </row>
    <row r="42" spans="1:7" x14ac:dyDescent="0.25">
      <c r="A42" s="65"/>
      <c r="B42" s="66"/>
      <c r="C42" s="66"/>
      <c r="D42" s="66"/>
      <c r="E42" s="66"/>
      <c r="F42" s="66"/>
      <c r="G42" s="66"/>
    </row>
    <row r="43" spans="1:7" x14ac:dyDescent="0.25">
      <c r="A43" s="53" t="s">
        <v>395</v>
      </c>
      <c r="B43" s="135">
        <f>SUM(B44,B53,B61,B71)</f>
        <v>219068084.48000002</v>
      </c>
      <c r="C43" s="135">
        <f t="shared" ref="C43:G43" si="9">SUM(C44,C53,C61,C71)</f>
        <v>0</v>
      </c>
      <c r="D43" s="135">
        <f t="shared" si="9"/>
        <v>219068084.48000002</v>
      </c>
      <c r="E43" s="135">
        <f t="shared" si="9"/>
        <v>56613308.959999993</v>
      </c>
      <c r="F43" s="135">
        <f t="shared" si="9"/>
        <v>56596485.330000006</v>
      </c>
      <c r="G43" s="135">
        <f t="shared" si="9"/>
        <v>162454775.52000001</v>
      </c>
    </row>
    <row r="44" spans="1:7" x14ac:dyDescent="0.25">
      <c r="A44" s="51" t="s">
        <v>430</v>
      </c>
      <c r="B44" s="135">
        <f>SUM(B45:B52)</f>
        <v>123384414.31</v>
      </c>
      <c r="C44" s="135">
        <f t="shared" ref="C44:G44" si="10">SUM(C45:C52)</f>
        <v>0</v>
      </c>
      <c r="D44" s="135">
        <f t="shared" si="10"/>
        <v>123384414.31</v>
      </c>
      <c r="E44" s="135">
        <f t="shared" si="10"/>
        <v>50306061.229999997</v>
      </c>
      <c r="F44" s="135">
        <f t="shared" si="10"/>
        <v>50296543.450000003</v>
      </c>
      <c r="G44" s="135">
        <f t="shared" si="10"/>
        <v>73078353.080000013</v>
      </c>
    </row>
    <row r="45" spans="1:7" x14ac:dyDescent="0.25">
      <c r="A45" s="65" t="s">
        <v>365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f>D45-E45</f>
        <v>0</v>
      </c>
    </row>
    <row r="46" spans="1:7" x14ac:dyDescent="0.25">
      <c r="A46" s="65" t="s">
        <v>366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f t="shared" ref="G46:G52" si="11">D46-E46</f>
        <v>0</v>
      </c>
    </row>
    <row r="47" spans="1:7" x14ac:dyDescent="0.25">
      <c r="A47" s="65" t="s">
        <v>367</v>
      </c>
      <c r="B47" s="136">
        <v>0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si="11"/>
        <v>0</v>
      </c>
    </row>
    <row r="48" spans="1:7" x14ac:dyDescent="0.25">
      <c r="A48" s="65" t="s">
        <v>368</v>
      </c>
      <c r="B48" s="136">
        <v>0</v>
      </c>
      <c r="C48" s="136">
        <v>0</v>
      </c>
      <c r="D48" s="136">
        <v>0</v>
      </c>
      <c r="E48" s="136">
        <v>0</v>
      </c>
      <c r="F48" s="136">
        <v>0</v>
      </c>
      <c r="G48" s="136">
        <f t="shared" si="11"/>
        <v>0</v>
      </c>
    </row>
    <row r="49" spans="1:7" x14ac:dyDescent="0.25">
      <c r="A49" s="65" t="s">
        <v>369</v>
      </c>
      <c r="B49" s="136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f t="shared" si="11"/>
        <v>0</v>
      </c>
    </row>
    <row r="50" spans="1:7" x14ac:dyDescent="0.25">
      <c r="A50" s="65" t="s">
        <v>370</v>
      </c>
      <c r="B50" s="136">
        <v>0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si="11"/>
        <v>0</v>
      </c>
    </row>
    <row r="51" spans="1:7" x14ac:dyDescent="0.25">
      <c r="A51" s="65" t="s">
        <v>371</v>
      </c>
      <c r="B51" s="136">
        <v>123384414.31</v>
      </c>
      <c r="C51" s="136" t="s">
        <v>3299</v>
      </c>
      <c r="D51" s="136">
        <v>123384414.31</v>
      </c>
      <c r="E51" s="136">
        <v>50306061.229999997</v>
      </c>
      <c r="F51" s="136">
        <v>50296543.450000003</v>
      </c>
      <c r="G51" s="136">
        <f t="shared" si="11"/>
        <v>73078353.080000013</v>
      </c>
    </row>
    <row r="52" spans="1:7" x14ac:dyDescent="0.25">
      <c r="A52" s="65" t="s">
        <v>372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f t="shared" si="11"/>
        <v>0</v>
      </c>
    </row>
    <row r="53" spans="1:7" x14ac:dyDescent="0.25">
      <c r="A53" s="51" t="s">
        <v>373</v>
      </c>
      <c r="B53" s="135">
        <f>SUM(B54:B60)</f>
        <v>95683670.170000002</v>
      </c>
      <c r="C53" s="135">
        <f t="shared" ref="C53:G53" si="12">SUM(C54:C60)</f>
        <v>0</v>
      </c>
      <c r="D53" s="135">
        <f t="shared" si="12"/>
        <v>95683670.170000002</v>
      </c>
      <c r="E53" s="135">
        <f t="shared" si="12"/>
        <v>6307247.7300000004</v>
      </c>
      <c r="F53" s="135">
        <f t="shared" si="12"/>
        <v>6299941.8799999999</v>
      </c>
      <c r="G53" s="135">
        <f t="shared" si="12"/>
        <v>89376422.439999998</v>
      </c>
    </row>
    <row r="54" spans="1:7" x14ac:dyDescent="0.25">
      <c r="A54" s="65" t="s">
        <v>374</v>
      </c>
      <c r="B54" s="136">
        <v>0</v>
      </c>
      <c r="C54" s="136">
        <v>0</v>
      </c>
      <c r="D54" s="136">
        <v>0</v>
      </c>
      <c r="E54" s="136">
        <v>0</v>
      </c>
      <c r="F54" s="136">
        <v>0</v>
      </c>
      <c r="G54" s="136">
        <f>D54-E54</f>
        <v>0</v>
      </c>
    </row>
    <row r="55" spans="1:7" x14ac:dyDescent="0.25">
      <c r="A55" s="65" t="s">
        <v>375</v>
      </c>
      <c r="B55" s="136">
        <v>95683670.170000002</v>
      </c>
      <c r="C55" s="136" t="s">
        <v>3299</v>
      </c>
      <c r="D55" s="136">
        <v>95683670.170000002</v>
      </c>
      <c r="E55" s="136">
        <v>6307247.7300000004</v>
      </c>
      <c r="F55" s="136">
        <v>6299941.8799999999</v>
      </c>
      <c r="G55" s="136">
        <f t="shared" ref="G55:G60" si="13">D55-E55</f>
        <v>89376422.439999998</v>
      </c>
    </row>
    <row r="56" spans="1:7" x14ac:dyDescent="0.25">
      <c r="A56" s="65" t="s">
        <v>376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f t="shared" si="13"/>
        <v>0</v>
      </c>
    </row>
    <row r="57" spans="1:7" x14ac:dyDescent="0.25">
      <c r="A57" s="46" t="s">
        <v>377</v>
      </c>
      <c r="B57" s="136">
        <v>0</v>
      </c>
      <c r="C57" s="136">
        <v>0</v>
      </c>
      <c r="D57" s="136">
        <v>0</v>
      </c>
      <c r="E57" s="136">
        <v>0</v>
      </c>
      <c r="F57" s="136">
        <v>0</v>
      </c>
      <c r="G57" s="136">
        <f t="shared" si="13"/>
        <v>0</v>
      </c>
    </row>
    <row r="58" spans="1:7" x14ac:dyDescent="0.25">
      <c r="A58" s="65" t="s">
        <v>378</v>
      </c>
      <c r="B58" s="136">
        <v>0</v>
      </c>
      <c r="C58" s="136">
        <v>0</v>
      </c>
      <c r="D58" s="136">
        <v>0</v>
      </c>
      <c r="E58" s="136">
        <v>0</v>
      </c>
      <c r="F58" s="136">
        <v>0</v>
      </c>
      <c r="G58" s="136">
        <f t="shared" si="13"/>
        <v>0</v>
      </c>
    </row>
    <row r="59" spans="1:7" x14ac:dyDescent="0.25">
      <c r="A59" s="65" t="s">
        <v>379</v>
      </c>
      <c r="B59" s="136">
        <v>0</v>
      </c>
      <c r="C59" s="136">
        <v>0</v>
      </c>
      <c r="D59" s="136">
        <v>0</v>
      </c>
      <c r="E59" s="136">
        <v>0</v>
      </c>
      <c r="F59" s="136">
        <v>0</v>
      </c>
      <c r="G59" s="136">
        <f t="shared" si="13"/>
        <v>0</v>
      </c>
    </row>
    <row r="60" spans="1:7" x14ac:dyDescent="0.25">
      <c r="A60" s="65" t="s">
        <v>380</v>
      </c>
      <c r="B60" s="136">
        <v>0</v>
      </c>
      <c r="C60" s="136">
        <v>0</v>
      </c>
      <c r="D60" s="136">
        <v>0</v>
      </c>
      <c r="E60" s="136">
        <v>0</v>
      </c>
      <c r="F60" s="136">
        <v>0</v>
      </c>
      <c r="G60" s="136">
        <f t="shared" si="13"/>
        <v>0</v>
      </c>
    </row>
    <row r="61" spans="1:7" x14ac:dyDescent="0.25">
      <c r="A61" s="51" t="s">
        <v>381</v>
      </c>
      <c r="B61" s="135">
        <f>SUM(B62:B70)</f>
        <v>0</v>
      </c>
      <c r="C61" s="135">
        <f t="shared" ref="C61:G61" si="14">SUM(C62:C70)</f>
        <v>0</v>
      </c>
      <c r="D61" s="135">
        <f t="shared" si="14"/>
        <v>0</v>
      </c>
      <c r="E61" s="135">
        <f t="shared" si="14"/>
        <v>0</v>
      </c>
      <c r="F61" s="135">
        <f t="shared" si="14"/>
        <v>0</v>
      </c>
      <c r="G61" s="135">
        <f t="shared" si="14"/>
        <v>0</v>
      </c>
    </row>
    <row r="62" spans="1:7" x14ac:dyDescent="0.25">
      <c r="A62" s="65" t="s">
        <v>382</v>
      </c>
      <c r="B62" s="136">
        <v>0</v>
      </c>
      <c r="C62" s="136">
        <v>0</v>
      </c>
      <c r="D62" s="136">
        <v>0</v>
      </c>
      <c r="E62" s="136">
        <v>0</v>
      </c>
      <c r="F62" s="136">
        <v>0</v>
      </c>
      <c r="G62" s="136">
        <f>D62-E62</f>
        <v>0</v>
      </c>
    </row>
    <row r="63" spans="1:7" x14ac:dyDescent="0.25">
      <c r="A63" s="65" t="s">
        <v>383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f t="shared" ref="G63:G70" si="15">D63-E63</f>
        <v>0</v>
      </c>
    </row>
    <row r="64" spans="1:7" x14ac:dyDescent="0.25">
      <c r="A64" s="65" t="s">
        <v>384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f t="shared" si="15"/>
        <v>0</v>
      </c>
    </row>
    <row r="65" spans="1:8" x14ac:dyDescent="0.25">
      <c r="A65" s="65" t="s">
        <v>385</v>
      </c>
      <c r="B65" s="136">
        <v>0</v>
      </c>
      <c r="C65" s="136">
        <v>0</v>
      </c>
      <c r="D65" s="136">
        <v>0</v>
      </c>
      <c r="E65" s="136">
        <v>0</v>
      </c>
      <c r="F65" s="136">
        <v>0</v>
      </c>
      <c r="G65" s="136">
        <f t="shared" si="15"/>
        <v>0</v>
      </c>
    </row>
    <row r="66" spans="1:8" x14ac:dyDescent="0.25">
      <c r="A66" s="65" t="s">
        <v>386</v>
      </c>
      <c r="B66" s="136">
        <v>0</v>
      </c>
      <c r="C66" s="136">
        <v>0</v>
      </c>
      <c r="D66" s="136">
        <v>0</v>
      </c>
      <c r="E66" s="136">
        <v>0</v>
      </c>
      <c r="F66" s="136">
        <v>0</v>
      </c>
      <c r="G66" s="136">
        <f t="shared" si="15"/>
        <v>0</v>
      </c>
    </row>
    <row r="67" spans="1:8" x14ac:dyDescent="0.25">
      <c r="A67" s="65" t="s">
        <v>387</v>
      </c>
      <c r="B67" s="136">
        <v>0</v>
      </c>
      <c r="C67" s="136">
        <v>0</v>
      </c>
      <c r="D67" s="136">
        <v>0</v>
      </c>
      <c r="E67" s="136">
        <v>0</v>
      </c>
      <c r="F67" s="136">
        <v>0</v>
      </c>
      <c r="G67" s="136">
        <f t="shared" si="15"/>
        <v>0</v>
      </c>
    </row>
    <row r="68" spans="1:8" x14ac:dyDescent="0.25">
      <c r="A68" s="65" t="s">
        <v>388</v>
      </c>
      <c r="B68" s="136">
        <v>0</v>
      </c>
      <c r="C68" s="136">
        <v>0</v>
      </c>
      <c r="D68" s="136">
        <v>0</v>
      </c>
      <c r="E68" s="136">
        <v>0</v>
      </c>
      <c r="F68" s="136">
        <v>0</v>
      </c>
      <c r="G68" s="136">
        <f t="shared" si="15"/>
        <v>0</v>
      </c>
    </row>
    <row r="69" spans="1:8" x14ac:dyDescent="0.25">
      <c r="A69" s="65" t="s">
        <v>389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f t="shared" si="15"/>
        <v>0</v>
      </c>
    </row>
    <row r="70" spans="1:8" x14ac:dyDescent="0.25">
      <c r="A70" s="65" t="s">
        <v>390</v>
      </c>
      <c r="B70" s="136">
        <v>0</v>
      </c>
      <c r="C70" s="136">
        <v>0</v>
      </c>
      <c r="D70" s="136">
        <v>0</v>
      </c>
      <c r="E70" s="136">
        <v>0</v>
      </c>
      <c r="F70" s="136">
        <v>0</v>
      </c>
      <c r="G70" s="136">
        <f t="shared" si="15"/>
        <v>0</v>
      </c>
    </row>
    <row r="71" spans="1:8" x14ac:dyDescent="0.25">
      <c r="A71" s="62" t="s">
        <v>3291</v>
      </c>
      <c r="B71" s="135">
        <f>SUM(B72:B75)</f>
        <v>0</v>
      </c>
      <c r="C71" s="135">
        <f t="shared" ref="C71:F71" si="16">SUM(C72:C75)</f>
        <v>0</v>
      </c>
      <c r="D71" s="135">
        <f t="shared" si="16"/>
        <v>0</v>
      </c>
      <c r="E71" s="135">
        <f t="shared" si="16"/>
        <v>0</v>
      </c>
      <c r="F71" s="135">
        <f t="shared" si="16"/>
        <v>0</v>
      </c>
      <c r="G71" s="135">
        <f>SUM(G72:G75)</f>
        <v>0</v>
      </c>
    </row>
    <row r="72" spans="1:8" x14ac:dyDescent="0.25">
      <c r="A72" s="65" t="s">
        <v>391</v>
      </c>
      <c r="B72" s="136">
        <v>0</v>
      </c>
      <c r="C72" s="136">
        <v>0</v>
      </c>
      <c r="D72" s="136">
        <v>0</v>
      </c>
      <c r="E72" s="136">
        <v>0</v>
      </c>
      <c r="F72" s="136">
        <v>0</v>
      </c>
      <c r="G72" s="136">
        <f>D72-E72</f>
        <v>0</v>
      </c>
    </row>
    <row r="73" spans="1:8" ht="30" x14ac:dyDescent="0.25">
      <c r="A73" s="65" t="s">
        <v>392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f t="shared" ref="G73:G75" si="17">D73-E73</f>
        <v>0</v>
      </c>
    </row>
    <row r="74" spans="1:8" x14ac:dyDescent="0.25">
      <c r="A74" s="65" t="s">
        <v>393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f t="shared" si="17"/>
        <v>0</v>
      </c>
    </row>
    <row r="75" spans="1:8" x14ac:dyDescent="0.25">
      <c r="A75" s="65" t="s">
        <v>394</v>
      </c>
      <c r="B75" s="136">
        <v>0</v>
      </c>
      <c r="C75" s="136">
        <v>0</v>
      </c>
      <c r="D75" s="136">
        <v>0</v>
      </c>
      <c r="E75" s="136">
        <v>0</v>
      </c>
      <c r="F75" s="136">
        <v>0</v>
      </c>
      <c r="G75" s="136">
        <f t="shared" si="17"/>
        <v>0</v>
      </c>
    </row>
    <row r="76" spans="1:8" x14ac:dyDescent="0.25">
      <c r="A76" s="52"/>
      <c r="B76" s="67"/>
      <c r="C76" s="67"/>
      <c r="D76" s="67"/>
      <c r="E76" s="67"/>
      <c r="F76" s="67"/>
      <c r="G76" s="67"/>
    </row>
    <row r="77" spans="1:8" x14ac:dyDescent="0.25">
      <c r="A77" s="53" t="s">
        <v>360</v>
      </c>
      <c r="B77" s="135">
        <f>B43+B9</f>
        <v>614900221.34000003</v>
      </c>
      <c r="C77" s="135">
        <f t="shared" ref="C77:F77" si="18">C43+C9</f>
        <v>0</v>
      </c>
      <c r="D77" s="135">
        <f t="shared" si="18"/>
        <v>614900221.34000003</v>
      </c>
      <c r="E77" s="135">
        <f t="shared" si="18"/>
        <v>236253909.11000001</v>
      </c>
      <c r="F77" s="135">
        <f t="shared" si="18"/>
        <v>217332756.21000001</v>
      </c>
      <c r="G77" s="135">
        <f>G43+G9</f>
        <v>378646312.23000002</v>
      </c>
    </row>
    <row r="78" spans="1:8" x14ac:dyDescent="0.25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395832136.86000001</v>
      </c>
      <c r="Q2" s="18">
        <f>'Formato 6 c)'!C9</f>
        <v>0</v>
      </c>
      <c r="R2" s="18">
        <f>'Formato 6 c)'!D9</f>
        <v>395832136.86000001</v>
      </c>
      <c r="S2" s="18">
        <f>'Formato 6 c)'!E9</f>
        <v>179640600.15000001</v>
      </c>
      <c r="T2" s="18">
        <f>'Formato 6 c)'!F9</f>
        <v>160736270.88</v>
      </c>
      <c r="U2" s="18">
        <f>'Formato 6 c)'!G9</f>
        <v>216191536.71000001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185335476.24000001</v>
      </c>
      <c r="Q3" s="18">
        <f>'Formato 6 c)'!C10</f>
        <v>0</v>
      </c>
      <c r="R3" s="18">
        <f>'Formato 6 c)'!D10</f>
        <v>185335476.24000001</v>
      </c>
      <c r="S3" s="18">
        <f>'Formato 6 c)'!E10</f>
        <v>81436510.180000007</v>
      </c>
      <c r="T3" s="18">
        <f>'Formato 6 c)'!F10</f>
        <v>63154785.530000001</v>
      </c>
      <c r="U3" s="18">
        <f>'Formato 6 c)'!G10</f>
        <v>103898966.06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2576866.35</v>
      </c>
      <c r="Q4" s="18" t="str">
        <f>'Formato 6 c)'!C11</f>
        <v xml:space="preserve">                                             -  </v>
      </c>
      <c r="R4" s="18">
        <f>'Formato 6 c)'!D11</f>
        <v>2576866.35</v>
      </c>
      <c r="S4" s="18">
        <f>'Formato 6 c)'!E11</f>
        <v>764016.27</v>
      </c>
      <c r="T4" s="18">
        <f>'Formato 6 c)'!F11</f>
        <v>758138.07</v>
      </c>
      <c r="U4" s="18">
        <f>'Formato 6 c)'!G11</f>
        <v>1812850.08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1683290.1</v>
      </c>
      <c r="Q5" s="18" t="str">
        <f>'Formato 6 c)'!C12</f>
        <v xml:space="preserve">                                             -  </v>
      </c>
      <c r="R5" s="18">
        <f>'Formato 6 c)'!D12</f>
        <v>1683290.1</v>
      </c>
      <c r="S5" s="18">
        <f>'Formato 6 c)'!E12</f>
        <v>504064.79</v>
      </c>
      <c r="T5" s="18">
        <f>'Formato 6 c)'!F12</f>
        <v>497883.97</v>
      </c>
      <c r="U5" s="18">
        <f>'Formato 6 c)'!G12</f>
        <v>1179225.31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55985848.520000003</v>
      </c>
      <c r="Q6" s="18" t="str">
        <f>'Formato 6 c)'!C13</f>
        <v xml:space="preserve">                                             -  </v>
      </c>
      <c r="R6" s="18">
        <f>'Formato 6 c)'!D13</f>
        <v>55985848.520000003</v>
      </c>
      <c r="S6" s="18">
        <f>'Formato 6 c)'!E13</f>
        <v>19654147.140000001</v>
      </c>
      <c r="T6" s="18">
        <f>'Formato 6 c)'!F13</f>
        <v>19173917.34</v>
      </c>
      <c r="U6" s="18">
        <f>'Formato 6 c)'!G13</f>
        <v>36331701.380000003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52776472.280000001</v>
      </c>
      <c r="Q8" s="18" t="str">
        <f>'Formato 6 c)'!C15</f>
        <v xml:space="preserve">                                             -  </v>
      </c>
      <c r="R8" s="18">
        <f>'Formato 6 c)'!D15</f>
        <v>52776472.280000001</v>
      </c>
      <c r="S8" s="18">
        <f>'Formato 6 c)'!E15</f>
        <v>24999242.600000001</v>
      </c>
      <c r="T8" s="18">
        <f>'Formato 6 c)'!F15</f>
        <v>24006823.789999999</v>
      </c>
      <c r="U8" s="18">
        <f>'Formato 6 c)'!G15</f>
        <v>27777229.68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6309000</v>
      </c>
      <c r="Q10" s="18" t="str">
        <f>'Formato 6 c)'!C17</f>
        <v xml:space="preserve">                                             -  </v>
      </c>
      <c r="R10" s="18">
        <f>'Formato 6 c)'!D17</f>
        <v>6309000</v>
      </c>
      <c r="S10" s="18">
        <f>'Formato 6 c)'!E17</f>
        <v>1806916.79</v>
      </c>
      <c r="T10" s="18">
        <f>'Formato 6 c)'!F17</f>
        <v>1534183.82</v>
      </c>
      <c r="U10" s="18">
        <f>'Formato 6 c)'!G17</f>
        <v>4502083.21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66003998.990000002</v>
      </c>
      <c r="Q11" s="18" t="str">
        <f>'Formato 6 c)'!C18</f>
        <v xml:space="preserve">                                             -  </v>
      </c>
      <c r="R11" s="18">
        <f>'Formato 6 c)'!D18</f>
        <v>66003998.990000002</v>
      </c>
      <c r="S11" s="18">
        <f>'Formato 6 c)'!E18</f>
        <v>33708122.590000004</v>
      </c>
      <c r="T11" s="18">
        <f>'Formato 6 c)'!F18</f>
        <v>17183838.539999999</v>
      </c>
      <c r="U11" s="18">
        <f>'Formato 6 c)'!G18</f>
        <v>32295876.399999999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105880549.61</v>
      </c>
      <c r="Q12" s="18">
        <f>'Formato 6 c)'!C19</f>
        <v>0</v>
      </c>
      <c r="R12" s="18">
        <f>'Formato 6 c)'!D19</f>
        <v>105880549.61</v>
      </c>
      <c r="S12" s="18">
        <f>'Formato 6 c)'!E19</f>
        <v>40054812.490000002</v>
      </c>
      <c r="T12" s="18">
        <f>'Formato 6 c)'!F19</f>
        <v>39526658.979999997</v>
      </c>
      <c r="U12" s="18">
        <f>'Formato 6 c)'!G19</f>
        <v>65825737.120000005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2366366.81</v>
      </c>
      <c r="Q13" s="18" t="str">
        <f>'Formato 6 c)'!C20</f>
        <v xml:space="preserve">                                             -  </v>
      </c>
      <c r="R13" s="18">
        <f>'Formato 6 c)'!D20</f>
        <v>2366366.81</v>
      </c>
      <c r="S13" s="18">
        <f>'Formato 6 c)'!E20</f>
        <v>742465.99</v>
      </c>
      <c r="T13" s="18">
        <f>'Formato 6 c)'!F20</f>
        <v>735803.48</v>
      </c>
      <c r="U13" s="18">
        <f>'Formato 6 c)'!G20</f>
        <v>1623900.82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90049259.030000001</v>
      </c>
      <c r="Q14" s="18" t="str">
        <f>'Formato 6 c)'!C21</f>
        <v xml:space="preserve">                                             -  </v>
      </c>
      <c r="R14" s="18">
        <f>'Formato 6 c)'!D21</f>
        <v>90049259.030000001</v>
      </c>
      <c r="S14" s="18">
        <f>'Formato 6 c)'!E21</f>
        <v>33967439.890000001</v>
      </c>
      <c r="T14" s="18">
        <f>'Formato 6 c)'!F21</f>
        <v>33571401.210000001</v>
      </c>
      <c r="U14" s="18">
        <f>'Formato 6 c)'!G21</f>
        <v>56081819.140000001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4851474.1100000003</v>
      </c>
      <c r="Q16" s="18" t="str">
        <f>'Formato 6 c)'!C23</f>
        <v xml:space="preserve">                                             -  </v>
      </c>
      <c r="R16" s="18">
        <f>'Formato 6 c)'!D23</f>
        <v>4851474.1100000003</v>
      </c>
      <c r="S16" s="18">
        <f>'Formato 6 c)'!E23</f>
        <v>2405915.66</v>
      </c>
      <c r="T16" s="18">
        <f>'Formato 6 c)'!F23</f>
        <v>2339726</v>
      </c>
      <c r="U16" s="18">
        <f>'Formato 6 c)'!G23</f>
        <v>2445558.4500000002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5466320.1600000001</v>
      </c>
      <c r="Q17" s="18" t="str">
        <f>'Formato 6 c)'!C24</f>
        <v xml:space="preserve">                                             -  </v>
      </c>
      <c r="R17" s="18">
        <f>'Formato 6 c)'!D24</f>
        <v>5466320.1600000001</v>
      </c>
      <c r="S17" s="18">
        <f>'Formato 6 c)'!E24</f>
        <v>2154619.9700000002</v>
      </c>
      <c r="T17" s="18">
        <f>'Formato 6 c)'!F24</f>
        <v>2122620.21</v>
      </c>
      <c r="U17" s="18">
        <f>'Formato 6 c)'!G24</f>
        <v>3311700.19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3147129.5</v>
      </c>
      <c r="Q19" s="18" t="str">
        <f>'Formato 6 c)'!C26</f>
        <v xml:space="preserve">                                             -  </v>
      </c>
      <c r="R19" s="18">
        <f>'Formato 6 c)'!D26</f>
        <v>3147129.5</v>
      </c>
      <c r="S19" s="18">
        <f>'Formato 6 c)'!E26</f>
        <v>784370.98</v>
      </c>
      <c r="T19" s="18">
        <f>'Formato 6 c)'!F26</f>
        <v>757108.08</v>
      </c>
      <c r="U19" s="18">
        <f>'Formato 6 c)'!G26</f>
        <v>2362758.52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104616111.01000001</v>
      </c>
      <c r="Q20" s="18">
        <f>'Formato 6 c)'!C27</f>
        <v>0</v>
      </c>
      <c r="R20" s="18">
        <f>'Formato 6 c)'!D27</f>
        <v>104616111.01000001</v>
      </c>
      <c r="S20" s="18">
        <f>'Formato 6 c)'!E27</f>
        <v>58149277.479999997</v>
      </c>
      <c r="T20" s="18">
        <f>'Formato 6 c)'!F27</f>
        <v>58054826.369999997</v>
      </c>
      <c r="U20" s="18">
        <f>'Formato 6 c)'!G27</f>
        <v>46466833.530000009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104616111.01000001</v>
      </c>
      <c r="Q21" s="18" t="str">
        <f>'Formato 6 c)'!C28</f>
        <v xml:space="preserve">                                             -  </v>
      </c>
      <c r="R21" s="18">
        <f>'Formato 6 c)'!D28</f>
        <v>104616111.01000001</v>
      </c>
      <c r="S21" s="18">
        <f>'Formato 6 c)'!E28</f>
        <v>58149277.479999997</v>
      </c>
      <c r="T21" s="18">
        <f>'Formato 6 c)'!F28</f>
        <v>58054826.369999997</v>
      </c>
      <c r="U21" s="18">
        <f>'Formato 6 c)'!G28</f>
        <v>46466833.530000009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219068084.48000002</v>
      </c>
      <c r="Q35" s="18">
        <f>'Formato 6 c)'!C43</f>
        <v>0</v>
      </c>
      <c r="R35" s="18">
        <f>'Formato 6 c)'!D43</f>
        <v>219068084.48000002</v>
      </c>
      <c r="S35" s="18">
        <f>'Formato 6 c)'!E43</f>
        <v>56613308.959999993</v>
      </c>
      <c r="T35" s="18">
        <f>'Formato 6 c)'!F43</f>
        <v>56596485.330000006</v>
      </c>
      <c r="U35" s="18">
        <f>'Formato 6 c)'!G43</f>
        <v>162454775.52000001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123384414.31</v>
      </c>
      <c r="Q36" s="18">
        <f>'Formato 6 c)'!C44</f>
        <v>0</v>
      </c>
      <c r="R36" s="18">
        <f>'Formato 6 c)'!D44</f>
        <v>123384414.31</v>
      </c>
      <c r="S36" s="18">
        <f>'Formato 6 c)'!E44</f>
        <v>50306061.229999997</v>
      </c>
      <c r="T36" s="18">
        <f>'Formato 6 c)'!F44</f>
        <v>50296543.450000003</v>
      </c>
      <c r="U36" s="18">
        <f>'Formato 6 c)'!G44</f>
        <v>73078353.080000013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123384414.31</v>
      </c>
      <c r="Q43" s="18" t="str">
        <f>'Formato 6 c)'!C51</f>
        <v xml:space="preserve">                                             -  </v>
      </c>
      <c r="R43" s="18">
        <f>'Formato 6 c)'!D51</f>
        <v>123384414.31</v>
      </c>
      <c r="S43" s="18">
        <f>'Formato 6 c)'!E51</f>
        <v>50306061.229999997</v>
      </c>
      <c r="T43" s="18">
        <f>'Formato 6 c)'!F51</f>
        <v>50296543.450000003</v>
      </c>
      <c r="U43" s="18">
        <f>'Formato 6 c)'!G51</f>
        <v>73078353.080000013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95683670.170000002</v>
      </c>
      <c r="Q45" s="18">
        <f>'Formato 6 c)'!C53</f>
        <v>0</v>
      </c>
      <c r="R45" s="18">
        <f>'Formato 6 c)'!D53</f>
        <v>95683670.170000002</v>
      </c>
      <c r="S45" s="18">
        <f>'Formato 6 c)'!E53</f>
        <v>6307247.7300000004</v>
      </c>
      <c r="T45" s="18">
        <f>'Formato 6 c)'!F53</f>
        <v>6299941.8799999999</v>
      </c>
      <c r="U45" s="18">
        <f>'Formato 6 c)'!G53</f>
        <v>89376422.439999998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95683670.170000002</v>
      </c>
      <c r="Q47" s="18" t="str">
        <f>'Formato 6 c)'!C55</f>
        <v xml:space="preserve">                                             -  </v>
      </c>
      <c r="R47" s="18">
        <f>'Formato 6 c)'!D55</f>
        <v>95683670.170000002</v>
      </c>
      <c r="S47" s="18">
        <f>'Formato 6 c)'!E55</f>
        <v>6307247.7300000004</v>
      </c>
      <c r="T47" s="18">
        <f>'Formato 6 c)'!F55</f>
        <v>6299941.8799999999</v>
      </c>
      <c r="U47" s="18">
        <f>'Formato 6 c)'!G55</f>
        <v>89376422.439999998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614900221.34000003</v>
      </c>
      <c r="Q68" s="18">
        <f>'Formato 6 c)'!C77</f>
        <v>0</v>
      </c>
      <c r="R68" s="18">
        <f>'Formato 6 c)'!D77</f>
        <v>614900221.34000003</v>
      </c>
      <c r="S68" s="18">
        <f>'Formato 6 c)'!E77</f>
        <v>236253909.11000001</v>
      </c>
      <c r="T68" s="18">
        <f>'Formato 6 c)'!F77</f>
        <v>217332756.21000001</v>
      </c>
      <c r="U68" s="18">
        <f>'Formato 6 c)'!G77</f>
        <v>378646312.23000002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SILAO DE LA VICTORIA, Gobierno del Estado de Guanajuato</v>
      </c>
    </row>
    <row r="7" spans="2:3" ht="14.25" x14ac:dyDescent="0.45">
      <c r="C7" t="str">
        <f>CONCATENATE(ENTE_PUBLICO," (a)")</f>
        <v>MUNICIPIO DE SILAO DE LA VICTORIA, Gobierno del Estado de Guanajuato (a)</v>
      </c>
    </row>
    <row r="8" spans="2:3" ht="27" customHeight="1" x14ac:dyDescent="0.45">
      <c r="B8" t="s">
        <v>787</v>
      </c>
      <c r="C8" s="23" t="s">
        <v>799</v>
      </c>
    </row>
    <row r="10" spans="2:3" ht="25.5" customHeight="1" x14ac:dyDescent="0.45">
      <c r="B10" t="s">
        <v>788</v>
      </c>
      <c r="C10" s="23" t="s">
        <v>1156</v>
      </c>
    </row>
    <row r="11" spans="2:3" ht="20.25" customHeight="1" x14ac:dyDescent="0.45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Silao, Gobierno del Estado de Guanajuato</v>
      </c>
    </row>
    <row r="12" spans="2:3" x14ac:dyDescent="0.25">
      <c r="B12" t="s">
        <v>786</v>
      </c>
      <c r="C12" s="23">
        <v>2021</v>
      </c>
    </row>
    <row r="14" spans="2:3" ht="14.25" x14ac:dyDescent="0.45">
      <c r="B14" t="s">
        <v>785</v>
      </c>
      <c r="C14" s="23" t="s">
        <v>3295</v>
      </c>
    </row>
    <row r="15" spans="2:3" ht="14.25" x14ac:dyDescent="0.45">
      <c r="C15" s="23">
        <v>2</v>
      </c>
    </row>
    <row r="16" spans="2:3" ht="14.25" x14ac:dyDescent="0.45">
      <c r="C16" s="23" t="s">
        <v>3296</v>
      </c>
    </row>
    <row r="18" spans="4:9" ht="120" x14ac:dyDescent="0.2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2021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2021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0" t="str">
        <f>CONCATENATE("Saldo al 31 de diciembre de ",ANIO_INFORME-1, " (d)")</f>
        <v>Saldo al 31 de diciembre de 2020 (d)</v>
      </c>
    </row>
    <row r="23" spans="4:9" ht="14.25" x14ac:dyDescent="0.45">
      <c r="D23" s="32">
        <f>ANIO_INFORME + 1</f>
        <v>2022</v>
      </c>
      <c r="E23" s="33" t="str">
        <f>CONCATENATE(ANIO_INFORME + 2, " (d)")</f>
        <v>2023 (d)</v>
      </c>
      <c r="F23" s="33" t="str">
        <f>CONCATENATE(ANIO_INFORME + 3, " (d)")</f>
        <v>2024 (d)</v>
      </c>
      <c r="G23" s="33" t="str">
        <f>CONCATENATE(ANIO_INFORME + 4, " (d)")</f>
        <v>2025 (d)</v>
      </c>
      <c r="H23" s="33" t="str">
        <f>CONCATENATE(ANIO_INFORME + 5, " (d)")</f>
        <v>2026 (d)</v>
      </c>
      <c r="I23" s="33" t="str">
        <f>CONCATENATE(ANIO_INFORME + 6, " (d)")</f>
        <v>2027 (d)</v>
      </c>
    </row>
    <row r="25" spans="4:9" x14ac:dyDescent="0.25">
      <c r="D25" s="34" t="str">
        <f>CONCATENATE(ANIO_INFORME - 5, " ",CHAR(185)," (c)")</f>
        <v>2016 ¹ (c)</v>
      </c>
      <c r="E25" s="34" t="str">
        <f>CONCATENATE(ANIO_INFORME - 4, " ",CHAR(185)," (c)")</f>
        <v>2017 ¹ (c)</v>
      </c>
      <c r="F25" s="34" t="str">
        <f>CONCATENATE(ANIO_INFORME - 3, " ",CHAR(185)," (c)")</f>
        <v>2018 ¹ (c)</v>
      </c>
      <c r="G25" s="34" t="str">
        <f>CONCATENATE(ANIO_INFORME - 2, " ",CHAR(185)," (c)")</f>
        <v>2019 ¹ (c)</v>
      </c>
      <c r="H25" s="34" t="str">
        <f>CONCATENATE(ANIO_INFORME - 1, " ",CHAR(185)," (c)")</f>
        <v>2020 ¹ (c)</v>
      </c>
      <c r="I25" s="32">
        <f>ANIO_INFORME</f>
        <v>2021</v>
      </c>
    </row>
    <row r="26" spans="4:9" ht="14.25" x14ac:dyDescent="0.45">
      <c r="D26" s="81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6">
        <v>-1.7976931348623099E+100</v>
      </c>
      <c r="E30" s="126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7">
        <v>36526</v>
      </c>
      <c r="E33" s="127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22" sqref="B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1" t="s">
        <v>3279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8" t="s">
        <v>277</v>
      </c>
      <c r="B3" s="149"/>
      <c r="C3" s="149"/>
      <c r="D3" s="149"/>
      <c r="E3" s="149"/>
      <c r="F3" s="149"/>
      <c r="G3" s="150"/>
    </row>
    <row r="4" spans="1:7" x14ac:dyDescent="0.25">
      <c r="A4" s="148" t="s">
        <v>399</v>
      </c>
      <c r="B4" s="149"/>
      <c r="C4" s="149"/>
      <c r="D4" s="149"/>
      <c r="E4" s="149"/>
      <c r="F4" s="149"/>
      <c r="G4" s="150"/>
    </row>
    <row r="5" spans="1:7" ht="14.25" x14ac:dyDescent="0.45">
      <c r="A5" s="148" t="str">
        <f>TRIMESTRE</f>
        <v>Del 1 de enero al 30 de junio de 2021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57" t="s">
        <v>361</v>
      </c>
      <c r="B7" s="162" t="s">
        <v>279</v>
      </c>
      <c r="C7" s="162"/>
      <c r="D7" s="162"/>
      <c r="E7" s="162"/>
      <c r="F7" s="162"/>
      <c r="G7" s="162" t="s">
        <v>280</v>
      </c>
    </row>
    <row r="8" spans="1:7" ht="29.25" customHeight="1" x14ac:dyDescent="0.25">
      <c r="A8" s="158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169"/>
    </row>
    <row r="9" spans="1:7" x14ac:dyDescent="0.25">
      <c r="A9" s="50" t="s">
        <v>400</v>
      </c>
      <c r="B9" s="135">
        <f>SUM(B10,B11,B12,B15,B16,B19)</f>
        <v>209163617.68000001</v>
      </c>
      <c r="C9" s="135">
        <f t="shared" ref="C9:F9" si="0">SUM(C10,C11,C12,C15,C16,C19)</f>
        <v>0</v>
      </c>
      <c r="D9" s="135">
        <f t="shared" si="0"/>
        <v>209163617.68000001</v>
      </c>
      <c r="E9" s="135">
        <f t="shared" si="0"/>
        <v>95359922.359999999</v>
      </c>
      <c r="F9" s="135">
        <f t="shared" si="0"/>
        <v>95359922.359999999</v>
      </c>
      <c r="G9" s="135">
        <f>SUM(G10,G11,G12,G15,G16,G19)</f>
        <v>113803695.32000001</v>
      </c>
    </row>
    <row r="10" spans="1:7" ht="14.25" customHeight="1" x14ac:dyDescent="0.25">
      <c r="A10" s="51" t="s">
        <v>401</v>
      </c>
      <c r="B10" s="136">
        <v>209163617.68000001</v>
      </c>
      <c r="C10" s="136" t="s">
        <v>3298</v>
      </c>
      <c r="D10" s="136">
        <v>209163617.68000001</v>
      </c>
      <c r="E10" s="136">
        <v>95359922.359999999</v>
      </c>
      <c r="F10" s="136">
        <v>95359922.359999999</v>
      </c>
      <c r="G10" s="136">
        <f>D10-E10</f>
        <v>113803695.32000001</v>
      </c>
    </row>
    <row r="11" spans="1:7" x14ac:dyDescent="0.25">
      <c r="A11" s="51" t="s">
        <v>402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f>D11-E11</f>
        <v>0</v>
      </c>
    </row>
    <row r="12" spans="1:7" x14ac:dyDescent="0.25">
      <c r="A12" s="51" t="s">
        <v>403</v>
      </c>
      <c r="B12" s="136">
        <f>B13+B14</f>
        <v>0</v>
      </c>
      <c r="C12" s="136">
        <f t="shared" ref="C12:F12" si="1">C13+C14</f>
        <v>0</v>
      </c>
      <c r="D12" s="136">
        <f t="shared" si="1"/>
        <v>0</v>
      </c>
      <c r="E12" s="136">
        <f t="shared" si="1"/>
        <v>0</v>
      </c>
      <c r="F12" s="136">
        <f t="shared" si="1"/>
        <v>0</v>
      </c>
      <c r="G12" s="136">
        <f>G13+G14</f>
        <v>0</v>
      </c>
    </row>
    <row r="13" spans="1:7" x14ac:dyDescent="0.25">
      <c r="A13" s="61" t="s">
        <v>404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f>D13-E13</f>
        <v>0</v>
      </c>
    </row>
    <row r="14" spans="1:7" x14ac:dyDescent="0.25">
      <c r="A14" s="61" t="s">
        <v>405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f t="shared" ref="G14:G15" si="2">D14-E14</f>
        <v>0</v>
      </c>
    </row>
    <row r="15" spans="1:7" x14ac:dyDescent="0.25">
      <c r="A15" s="51" t="s">
        <v>406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f t="shared" si="2"/>
        <v>0</v>
      </c>
    </row>
    <row r="16" spans="1:7" x14ac:dyDescent="0.25">
      <c r="A16" s="62" t="s">
        <v>407</v>
      </c>
      <c r="B16" s="136">
        <f>B17+B18</f>
        <v>0</v>
      </c>
      <c r="C16" s="136">
        <f t="shared" ref="C16:G16" si="3">C17+C18</f>
        <v>0</v>
      </c>
      <c r="D16" s="136">
        <f t="shared" si="3"/>
        <v>0</v>
      </c>
      <c r="E16" s="136">
        <f t="shared" si="3"/>
        <v>0</v>
      </c>
      <c r="F16" s="136">
        <f t="shared" si="3"/>
        <v>0</v>
      </c>
      <c r="G16" s="136">
        <f t="shared" si="3"/>
        <v>0</v>
      </c>
    </row>
    <row r="17" spans="1:7" x14ac:dyDescent="0.25">
      <c r="A17" s="61" t="s">
        <v>408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f>D17-E17</f>
        <v>0</v>
      </c>
    </row>
    <row r="18" spans="1:7" x14ac:dyDescent="0.25">
      <c r="A18" s="61" t="s">
        <v>409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f>D18-E18</f>
        <v>0</v>
      </c>
    </row>
    <row r="19" spans="1:7" x14ac:dyDescent="0.25">
      <c r="A19" s="51" t="s">
        <v>410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f>D19-E19</f>
        <v>0</v>
      </c>
    </row>
    <row r="20" spans="1:7" ht="14.25" x14ac:dyDescent="0.45">
      <c r="A20" s="52"/>
      <c r="B20" s="64"/>
      <c r="C20" s="64"/>
      <c r="D20" s="64"/>
      <c r="E20" s="64"/>
      <c r="F20" s="64"/>
      <c r="G20" s="64"/>
    </row>
    <row r="21" spans="1:7" s="23" customFormat="1" x14ac:dyDescent="0.25">
      <c r="A21" s="14" t="s">
        <v>411</v>
      </c>
      <c r="B21" s="135">
        <f>SUM(B22,B23,B24,B27,B28,B31)</f>
        <v>111842713.2</v>
      </c>
      <c r="C21" s="135">
        <f t="shared" ref="C21:F21" si="4">SUM(C22,C23,C24,C27,C28,C31)</f>
        <v>0</v>
      </c>
      <c r="D21" s="135">
        <f t="shared" si="4"/>
        <v>111842713.2</v>
      </c>
      <c r="E21" s="135">
        <f t="shared" si="4"/>
        <v>42349311.479999997</v>
      </c>
      <c r="F21" s="135">
        <f t="shared" si="4"/>
        <v>42350813.700000003</v>
      </c>
      <c r="G21" s="135">
        <f>SUM(G22,G23,G24,G27,G28,G31)</f>
        <v>69493401.719999999</v>
      </c>
    </row>
    <row r="22" spans="1:7" s="23" customFormat="1" ht="14.25" customHeight="1" x14ac:dyDescent="0.25">
      <c r="A22" s="51" t="s">
        <v>401</v>
      </c>
      <c r="B22" s="136">
        <v>111842713.2</v>
      </c>
      <c r="C22" s="136" t="s">
        <v>3298</v>
      </c>
      <c r="D22" s="136">
        <v>111842713.2</v>
      </c>
      <c r="E22" s="136">
        <v>42349311.479999997</v>
      </c>
      <c r="F22" s="136">
        <v>42350813.700000003</v>
      </c>
      <c r="G22" s="136">
        <f>D22-E22</f>
        <v>69493401.719999999</v>
      </c>
    </row>
    <row r="23" spans="1:7" s="23" customFormat="1" x14ac:dyDescent="0.25">
      <c r="A23" s="51" t="s">
        <v>402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f>D23-E23</f>
        <v>0</v>
      </c>
    </row>
    <row r="24" spans="1:7" s="23" customFormat="1" x14ac:dyDescent="0.25">
      <c r="A24" s="51" t="s">
        <v>403</v>
      </c>
      <c r="B24" s="136">
        <f>B25+B26</f>
        <v>0</v>
      </c>
      <c r="C24" s="136">
        <f t="shared" ref="C24:G24" si="5">C25+C26</f>
        <v>0</v>
      </c>
      <c r="D24" s="136">
        <f t="shared" si="5"/>
        <v>0</v>
      </c>
      <c r="E24" s="136">
        <f t="shared" si="5"/>
        <v>0</v>
      </c>
      <c r="F24" s="136">
        <f t="shared" si="5"/>
        <v>0</v>
      </c>
      <c r="G24" s="136">
        <f t="shared" si="5"/>
        <v>0</v>
      </c>
    </row>
    <row r="25" spans="1:7" s="23" customFormat="1" x14ac:dyDescent="0.25">
      <c r="A25" s="61" t="s">
        <v>404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f>D25-E25</f>
        <v>0</v>
      </c>
    </row>
    <row r="26" spans="1:7" s="23" customFormat="1" x14ac:dyDescent="0.25">
      <c r="A26" s="61" t="s">
        <v>405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f t="shared" ref="G26:G27" si="6">D26-E26</f>
        <v>0</v>
      </c>
    </row>
    <row r="27" spans="1:7" s="23" customFormat="1" x14ac:dyDescent="0.25">
      <c r="A27" s="51" t="s">
        <v>406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 t="shared" si="6"/>
        <v>0</v>
      </c>
    </row>
    <row r="28" spans="1:7" s="23" customFormat="1" x14ac:dyDescent="0.25">
      <c r="A28" s="62" t="s">
        <v>407</v>
      </c>
      <c r="B28" s="136">
        <f>B29+B30</f>
        <v>0</v>
      </c>
      <c r="C28" s="136">
        <f t="shared" ref="C28:G28" si="7">C29+C30</f>
        <v>0</v>
      </c>
      <c r="D28" s="136">
        <f t="shared" si="7"/>
        <v>0</v>
      </c>
      <c r="E28" s="136">
        <f t="shared" si="7"/>
        <v>0</v>
      </c>
      <c r="F28" s="136">
        <f t="shared" si="7"/>
        <v>0</v>
      </c>
      <c r="G28" s="136">
        <f t="shared" si="7"/>
        <v>0</v>
      </c>
    </row>
    <row r="29" spans="1:7" s="23" customFormat="1" x14ac:dyDescent="0.25">
      <c r="A29" s="61" t="s">
        <v>408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f>D29-E29</f>
        <v>0</v>
      </c>
    </row>
    <row r="30" spans="1:7" s="23" customFormat="1" x14ac:dyDescent="0.25">
      <c r="A30" s="61" t="s">
        <v>409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f t="shared" ref="G30:G31" si="8">D30-E30</f>
        <v>0</v>
      </c>
    </row>
    <row r="31" spans="1:7" s="23" customFormat="1" x14ac:dyDescent="0.25">
      <c r="A31" s="51" t="s">
        <v>410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f t="shared" si="8"/>
        <v>0</v>
      </c>
    </row>
    <row r="32" spans="1:7" ht="14.25" x14ac:dyDescent="0.45">
      <c r="A32" s="52"/>
      <c r="B32" s="64"/>
      <c r="C32" s="64"/>
      <c r="D32" s="64"/>
      <c r="E32" s="64"/>
      <c r="F32" s="64"/>
      <c r="G32" s="64"/>
    </row>
    <row r="33" spans="1:7" x14ac:dyDescent="0.25">
      <c r="A33" s="53" t="s">
        <v>412</v>
      </c>
      <c r="B33" s="135">
        <f>B21+B9</f>
        <v>321006330.88</v>
      </c>
      <c r="C33" s="135">
        <f t="shared" ref="C33:G33" si="9">C21+C9</f>
        <v>0</v>
      </c>
      <c r="D33" s="135">
        <f t="shared" si="9"/>
        <v>321006330.88</v>
      </c>
      <c r="E33" s="135">
        <f t="shared" si="9"/>
        <v>137709233.84</v>
      </c>
      <c r="F33" s="135">
        <f t="shared" si="9"/>
        <v>137710736.06</v>
      </c>
      <c r="G33" s="135">
        <f t="shared" si="9"/>
        <v>183297097.04000002</v>
      </c>
    </row>
    <row r="34" spans="1:7" ht="14.25" x14ac:dyDescent="0.45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209163617.68000001</v>
      </c>
      <c r="Q2" s="18">
        <f>'Formato 6 d)'!C9</f>
        <v>0</v>
      </c>
      <c r="R2" s="18">
        <f>'Formato 6 d)'!D9</f>
        <v>209163617.68000001</v>
      </c>
      <c r="S2" s="18">
        <f>'Formato 6 d)'!E9</f>
        <v>95359922.359999999</v>
      </c>
      <c r="T2" s="18">
        <f>'Formato 6 d)'!F9</f>
        <v>95359922.359999999</v>
      </c>
      <c r="U2" s="18">
        <f>'Formato 6 d)'!G9</f>
        <v>113803695.32000001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209163617.68000001</v>
      </c>
      <c r="Q3" s="18" t="str">
        <f>'Formato 6 d)'!C10</f>
        <v xml:space="preserve">                                           -  </v>
      </c>
      <c r="R3" s="18">
        <f>'Formato 6 d)'!D10</f>
        <v>209163617.68000001</v>
      </c>
      <c r="S3" s="18">
        <f>'Formato 6 d)'!E10</f>
        <v>95359922.359999999</v>
      </c>
      <c r="T3" s="18">
        <f>'Formato 6 d)'!F10</f>
        <v>95359922.359999999</v>
      </c>
      <c r="U3" s="18">
        <f>'Formato 6 d)'!G10</f>
        <v>113803695.32000001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111842713.2</v>
      </c>
      <c r="Q13" s="18">
        <f>'Formato 6 d)'!C21</f>
        <v>0</v>
      </c>
      <c r="R13" s="18">
        <f>'Formato 6 d)'!D21</f>
        <v>111842713.2</v>
      </c>
      <c r="S13" s="18">
        <f>'Formato 6 d)'!E21</f>
        <v>42349311.479999997</v>
      </c>
      <c r="T13" s="18">
        <f>'Formato 6 d)'!F21</f>
        <v>42350813.700000003</v>
      </c>
      <c r="U13" s="18">
        <f>'Formato 6 d)'!G21</f>
        <v>69493401.719999999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111842713.2</v>
      </c>
      <c r="Q14" s="18" t="str">
        <f>'Formato 6 d)'!C22</f>
        <v xml:space="preserve">                                           -  </v>
      </c>
      <c r="R14" s="18">
        <f>'Formato 6 d)'!D22</f>
        <v>111842713.2</v>
      </c>
      <c r="S14" s="18">
        <f>'Formato 6 d)'!E22</f>
        <v>42349311.479999997</v>
      </c>
      <c r="T14" s="18">
        <f>'Formato 6 d)'!F22</f>
        <v>42350813.700000003</v>
      </c>
      <c r="U14" s="18">
        <f>'Formato 6 d)'!G22</f>
        <v>69493401.719999999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321006330.88</v>
      </c>
      <c r="Q24" s="18">
        <f>'Formato 6 d)'!C33</f>
        <v>0</v>
      </c>
      <c r="R24" s="18">
        <f>'Formato 6 d)'!D33</f>
        <v>321006330.88</v>
      </c>
      <c r="S24" s="18">
        <f>'Formato 6 d)'!E33</f>
        <v>137709233.84</v>
      </c>
      <c r="T24" s="18">
        <f>'Formato 6 d)'!F33</f>
        <v>137710736.06</v>
      </c>
      <c r="U24" s="18">
        <f>'Formato 6 d)'!G33</f>
        <v>183297097.04000002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0" t="s">
        <v>413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414</v>
      </c>
      <c r="B3" s="146"/>
      <c r="C3" s="146"/>
      <c r="D3" s="146"/>
      <c r="E3" s="146"/>
      <c r="F3" s="146"/>
      <c r="G3" s="147"/>
    </row>
    <row r="4" spans="1:7" ht="14.25" x14ac:dyDescent="0.45">
      <c r="A4" s="145" t="s">
        <v>118</v>
      </c>
      <c r="B4" s="146"/>
      <c r="C4" s="146"/>
      <c r="D4" s="146"/>
      <c r="E4" s="146"/>
      <c r="F4" s="146"/>
      <c r="G4" s="147"/>
    </row>
    <row r="5" spans="1:7" ht="14.25" x14ac:dyDescent="0.45">
      <c r="A5" s="145" t="s">
        <v>415</v>
      </c>
      <c r="B5" s="146"/>
      <c r="C5" s="146"/>
      <c r="D5" s="146"/>
      <c r="E5" s="146"/>
      <c r="F5" s="146"/>
      <c r="G5" s="147"/>
    </row>
    <row r="6" spans="1:7" x14ac:dyDescent="0.25">
      <c r="A6" s="157" t="s">
        <v>3280</v>
      </c>
      <c r="B6" s="49">
        <f>ANIO1P</f>
        <v>2022</v>
      </c>
      <c r="C6" s="170" t="str">
        <f>ANIO2P</f>
        <v>2023 (d)</v>
      </c>
      <c r="D6" s="170" t="str">
        <f>ANIO3P</f>
        <v>2024 (d)</v>
      </c>
      <c r="E6" s="170" t="str">
        <f>ANIO4P</f>
        <v>2025 (d)</v>
      </c>
      <c r="F6" s="170" t="str">
        <f>ANIO5P</f>
        <v>2026 (d)</v>
      </c>
      <c r="G6" s="170" t="str">
        <f>ANIO6P</f>
        <v>2027 (d)</v>
      </c>
    </row>
    <row r="7" spans="1:7" ht="48" customHeight="1" x14ac:dyDescent="0.25">
      <c r="A7" s="158"/>
      <c r="B7" s="77" t="s">
        <v>3283</v>
      </c>
      <c r="C7" s="171"/>
      <c r="D7" s="171"/>
      <c r="E7" s="171"/>
      <c r="F7" s="171"/>
      <c r="G7" s="171"/>
    </row>
    <row r="8" spans="1:7" x14ac:dyDescent="0.25">
      <c r="A8" s="50" t="s">
        <v>421</v>
      </c>
      <c r="B8" s="57">
        <f>SUM(B9:B20)</f>
        <v>12</v>
      </c>
      <c r="C8" s="57">
        <f t="shared" ref="C8:G8" si="0">SUM(C9:C20)</f>
        <v>18</v>
      </c>
      <c r="D8" s="57">
        <f t="shared" si="0"/>
        <v>24</v>
      </c>
      <c r="E8" s="57">
        <f t="shared" si="0"/>
        <v>30</v>
      </c>
      <c r="F8" s="57">
        <f t="shared" si="0"/>
        <v>36</v>
      </c>
      <c r="G8" s="57">
        <f t="shared" si="0"/>
        <v>42</v>
      </c>
    </row>
    <row r="9" spans="1:7" ht="14.25" x14ac:dyDescent="0.45">
      <c r="A9" s="51" t="s">
        <v>216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ht="14.25" x14ac:dyDescent="0.45">
      <c r="A10" s="51" t="s">
        <v>217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ht="14.25" x14ac:dyDescent="0.45">
      <c r="A11" s="51" t="s">
        <v>218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ht="14.25" x14ac:dyDescent="0.45">
      <c r="A12" s="51" t="s">
        <v>416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ht="14.25" x14ac:dyDescent="0.45">
      <c r="A13" s="51" t="s">
        <v>220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ht="14.25" x14ac:dyDescent="0.45">
      <c r="A14" s="51" t="s">
        <v>221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ht="14.25" x14ac:dyDescent="0.45">
      <c r="A15" s="51" t="s">
        <v>417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ht="14.25" x14ac:dyDescent="0.45">
      <c r="A16" s="51" t="s">
        <v>418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10" t="s">
        <v>419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51" t="s">
        <v>240</v>
      </c>
      <c r="B18" s="58">
        <v>1</v>
      </c>
      <c r="C18" s="58">
        <v>1.5</v>
      </c>
      <c r="D18" s="58">
        <v>2</v>
      </c>
      <c r="E18" s="58">
        <v>2.5</v>
      </c>
      <c r="F18" s="58">
        <v>3</v>
      </c>
      <c r="G18" s="58">
        <v>3.5</v>
      </c>
    </row>
    <row r="19" spans="1:7" ht="14.25" x14ac:dyDescent="0.45">
      <c r="A19" s="51" t="s">
        <v>241</v>
      </c>
      <c r="B19" s="58">
        <v>1</v>
      </c>
      <c r="C19" s="58">
        <v>1.5</v>
      </c>
      <c r="D19" s="58">
        <v>2</v>
      </c>
      <c r="E19" s="58">
        <v>2.5</v>
      </c>
      <c r="F19" s="58">
        <v>3</v>
      </c>
      <c r="G19" s="58">
        <v>3.5</v>
      </c>
    </row>
    <row r="20" spans="1:7" x14ac:dyDescent="0.25">
      <c r="A20" s="51" t="s">
        <v>420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ht="14.25" x14ac:dyDescent="0.45">
      <c r="A21" s="52"/>
      <c r="B21" s="52"/>
      <c r="C21" s="52"/>
      <c r="D21" s="52"/>
      <c r="E21" s="52"/>
      <c r="F21" s="52"/>
      <c r="G21" s="52"/>
    </row>
    <row r="22" spans="1:7" ht="14.25" x14ac:dyDescent="0.45">
      <c r="A22" s="53" t="s">
        <v>422</v>
      </c>
      <c r="B22" s="59">
        <f>SUM(B23:B27)</f>
        <v>5</v>
      </c>
      <c r="C22" s="59">
        <f t="shared" ref="C22:G22" si="1">SUM(C23:C27)</f>
        <v>7.5</v>
      </c>
      <c r="D22" s="59">
        <f t="shared" si="1"/>
        <v>10</v>
      </c>
      <c r="E22" s="59">
        <f t="shared" si="1"/>
        <v>12.5</v>
      </c>
      <c r="F22" s="59">
        <f t="shared" si="1"/>
        <v>15</v>
      </c>
      <c r="G22" s="59">
        <f t="shared" si="1"/>
        <v>17.5</v>
      </c>
    </row>
    <row r="23" spans="1:7" ht="14.25" x14ac:dyDescent="0.45">
      <c r="A23" s="51" t="s">
        <v>423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ht="14.25" x14ac:dyDescent="0.45">
      <c r="A24" s="51" t="s">
        <v>424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ht="14.25" x14ac:dyDescent="0.45">
      <c r="A25" s="51" t="s">
        <v>425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ht="14.25" x14ac:dyDescent="0.45">
      <c r="A26" s="54" t="s">
        <v>265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ht="14.25" x14ac:dyDescent="0.45">
      <c r="A27" s="51" t="s">
        <v>266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ht="14.25" x14ac:dyDescent="0.45">
      <c r="A29" s="53" t="s">
        <v>426</v>
      </c>
      <c r="B29" s="59">
        <f>B30</f>
        <v>1</v>
      </c>
      <c r="C29" s="59">
        <f t="shared" ref="C29:G29" si="2">C30</f>
        <v>1.5</v>
      </c>
      <c r="D29" s="59">
        <f t="shared" si="2"/>
        <v>2</v>
      </c>
      <c r="E29" s="59">
        <f t="shared" si="2"/>
        <v>2.5</v>
      </c>
      <c r="F29" s="59">
        <f t="shared" si="2"/>
        <v>3</v>
      </c>
      <c r="G29" s="59">
        <f t="shared" si="2"/>
        <v>3.5</v>
      </c>
    </row>
    <row r="30" spans="1:7" ht="14.25" x14ac:dyDescent="0.45">
      <c r="A30" s="51" t="s">
        <v>269</v>
      </c>
      <c r="B30" s="58">
        <v>1</v>
      </c>
      <c r="C30" s="58">
        <v>1.5</v>
      </c>
      <c r="D30" s="58">
        <v>2</v>
      </c>
      <c r="E30" s="58">
        <v>2.5</v>
      </c>
      <c r="F30" s="58">
        <v>3</v>
      </c>
      <c r="G30" s="58">
        <v>3.5</v>
      </c>
    </row>
    <row r="31" spans="1:7" ht="14.25" x14ac:dyDescent="0.45">
      <c r="A31" s="52"/>
      <c r="B31" s="52"/>
      <c r="C31" s="52"/>
      <c r="D31" s="52"/>
      <c r="E31" s="52"/>
      <c r="F31" s="52"/>
      <c r="G31" s="52"/>
    </row>
    <row r="32" spans="1:7" ht="14.25" x14ac:dyDescent="0.45">
      <c r="A32" s="14" t="s">
        <v>427</v>
      </c>
      <c r="B32" s="59">
        <f>B29+B22+B8</f>
        <v>18</v>
      </c>
      <c r="C32" s="59">
        <f t="shared" ref="C32:F32" si="3">C29+C22+C8</f>
        <v>27</v>
      </c>
      <c r="D32" s="59">
        <f t="shared" si="3"/>
        <v>36</v>
      </c>
      <c r="E32" s="59">
        <f t="shared" si="3"/>
        <v>45</v>
      </c>
      <c r="F32" s="59">
        <f t="shared" si="3"/>
        <v>54</v>
      </c>
      <c r="G32" s="59">
        <f>G29+G22+G8</f>
        <v>63</v>
      </c>
    </row>
    <row r="33" spans="1:7" ht="14.25" x14ac:dyDescent="0.45">
      <c r="A33" s="52"/>
      <c r="B33" s="52"/>
      <c r="C33" s="52"/>
      <c r="D33" s="52"/>
      <c r="E33" s="52"/>
      <c r="F33" s="52"/>
      <c r="G33" s="52"/>
    </row>
    <row r="34" spans="1:7" ht="14.25" x14ac:dyDescent="0.45">
      <c r="A34" s="53" t="s">
        <v>271</v>
      </c>
      <c r="B34" s="60"/>
      <c r="C34" s="60"/>
      <c r="D34" s="60"/>
      <c r="E34" s="60"/>
      <c r="F34" s="60"/>
      <c r="G34" s="60"/>
    </row>
    <row r="35" spans="1:7" ht="30" x14ac:dyDescent="0.25">
      <c r="A35" s="55" t="s">
        <v>428</v>
      </c>
      <c r="B35" s="58">
        <v>1</v>
      </c>
      <c r="C35" s="58">
        <v>1.5</v>
      </c>
      <c r="D35" s="58">
        <v>2</v>
      </c>
      <c r="E35" s="58">
        <v>2.5</v>
      </c>
      <c r="F35" s="58">
        <v>3</v>
      </c>
      <c r="G35" s="58">
        <v>3.5</v>
      </c>
    </row>
    <row r="36" spans="1:7" ht="28.5" x14ac:dyDescent="0.45">
      <c r="A36" s="55" t="s">
        <v>273</v>
      </c>
      <c r="B36" s="58">
        <v>1</v>
      </c>
      <c r="C36" s="58">
        <v>1.5</v>
      </c>
      <c r="D36" s="58">
        <v>2</v>
      </c>
      <c r="E36" s="58">
        <v>2.5</v>
      </c>
      <c r="F36" s="58">
        <v>3</v>
      </c>
      <c r="G36" s="58">
        <v>3.5</v>
      </c>
    </row>
    <row r="37" spans="1:7" ht="14.25" x14ac:dyDescent="0.45">
      <c r="A37" s="53" t="s">
        <v>429</v>
      </c>
      <c r="B37" s="59">
        <f>B36+B35</f>
        <v>2</v>
      </c>
      <c r="C37" s="59">
        <f t="shared" ref="C37:F37" si="4">C36+C35</f>
        <v>3</v>
      </c>
      <c r="D37" s="59">
        <f t="shared" si="4"/>
        <v>4</v>
      </c>
      <c r="E37" s="59">
        <f t="shared" si="4"/>
        <v>5</v>
      </c>
      <c r="F37" s="59">
        <f t="shared" si="4"/>
        <v>6</v>
      </c>
      <c r="G37" s="59">
        <f>G36+G35</f>
        <v>7</v>
      </c>
    </row>
    <row r="38" spans="1:7" ht="14.25" x14ac:dyDescent="0.45">
      <c r="A38" s="56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0" t="s">
        <v>443</v>
      </c>
      <c r="B1" s="160"/>
      <c r="C1" s="160"/>
      <c r="D1" s="160"/>
      <c r="E1" s="160"/>
      <c r="F1" s="160"/>
      <c r="G1" s="160"/>
    </row>
    <row r="2" spans="1:7" customFormat="1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customFormat="1" ht="14.25" x14ac:dyDescent="0.45">
      <c r="A3" s="145" t="s">
        <v>444</v>
      </c>
      <c r="B3" s="146"/>
      <c r="C3" s="146"/>
      <c r="D3" s="146"/>
      <c r="E3" s="146"/>
      <c r="F3" s="146"/>
      <c r="G3" s="147"/>
    </row>
    <row r="4" spans="1:7" customFormat="1" ht="14.25" x14ac:dyDescent="0.45">
      <c r="A4" s="145" t="s">
        <v>118</v>
      </c>
      <c r="B4" s="146"/>
      <c r="C4" s="146"/>
      <c r="D4" s="146"/>
      <c r="E4" s="146"/>
      <c r="F4" s="146"/>
      <c r="G4" s="147"/>
    </row>
    <row r="5" spans="1:7" customFormat="1" ht="14.25" x14ac:dyDescent="0.45">
      <c r="A5" s="145" t="s">
        <v>415</v>
      </c>
      <c r="B5" s="146"/>
      <c r="C5" s="146"/>
      <c r="D5" s="146"/>
      <c r="E5" s="146"/>
      <c r="F5" s="146"/>
      <c r="G5" s="147"/>
    </row>
    <row r="6" spans="1:7" customFormat="1" x14ac:dyDescent="0.25">
      <c r="A6" s="172" t="s">
        <v>3134</v>
      </c>
      <c r="B6" s="49">
        <f>ANIO1P</f>
        <v>2022</v>
      </c>
      <c r="C6" s="170" t="str">
        <f>ANIO2P</f>
        <v>2023 (d)</v>
      </c>
      <c r="D6" s="170" t="str">
        <f>ANIO3P</f>
        <v>2024 (d)</v>
      </c>
      <c r="E6" s="170" t="str">
        <f>ANIO4P</f>
        <v>2025 (d)</v>
      </c>
      <c r="F6" s="170" t="str">
        <f>ANIO5P</f>
        <v>2026 (d)</v>
      </c>
      <c r="G6" s="170" t="str">
        <f>ANIO6P</f>
        <v>2027 (d)</v>
      </c>
    </row>
    <row r="7" spans="1:7" customFormat="1" ht="48" customHeight="1" x14ac:dyDescent="0.25">
      <c r="A7" s="173"/>
      <c r="B7" s="77" t="s">
        <v>3283</v>
      </c>
      <c r="C7" s="171"/>
      <c r="D7" s="171"/>
      <c r="E7" s="171"/>
      <c r="F7" s="171"/>
      <c r="G7" s="171"/>
    </row>
    <row r="8" spans="1:7" x14ac:dyDescent="0.25">
      <c r="A8" s="50" t="s">
        <v>445</v>
      </c>
      <c r="B8" s="57">
        <f>SUM(B9:B17)</f>
        <v>9</v>
      </c>
      <c r="C8" s="57">
        <f t="shared" ref="C8:G8" si="0">SUM(C9:C17)</f>
        <v>13.5</v>
      </c>
      <c r="D8" s="57">
        <f t="shared" si="0"/>
        <v>18</v>
      </c>
      <c r="E8" s="57">
        <f t="shared" si="0"/>
        <v>22.5</v>
      </c>
      <c r="F8" s="57">
        <f t="shared" si="0"/>
        <v>27</v>
      </c>
      <c r="G8" s="57">
        <f t="shared" si="0"/>
        <v>31.5</v>
      </c>
    </row>
    <row r="9" spans="1:7" x14ac:dyDescent="0.25">
      <c r="A9" s="51" t="s">
        <v>446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x14ac:dyDescent="0.25">
      <c r="A10" s="51" t="s">
        <v>447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x14ac:dyDescent="0.25">
      <c r="A11" s="51" t="s">
        <v>448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x14ac:dyDescent="0.25">
      <c r="A12" s="51" t="s">
        <v>449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x14ac:dyDescent="0.25">
      <c r="A13" s="51" t="s">
        <v>450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x14ac:dyDescent="0.25">
      <c r="A14" s="51" t="s">
        <v>451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x14ac:dyDescent="0.25">
      <c r="A15" s="51" t="s">
        <v>452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x14ac:dyDescent="0.25">
      <c r="A16" s="51" t="s">
        <v>453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51" t="s">
        <v>454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78"/>
      <c r="B18" s="52"/>
      <c r="C18" s="52"/>
      <c r="D18" s="52"/>
      <c r="E18" s="52"/>
      <c r="F18" s="52"/>
      <c r="G18" s="52"/>
    </row>
    <row r="19" spans="1:7" x14ac:dyDescent="0.25">
      <c r="A19" s="53" t="s">
        <v>455</v>
      </c>
      <c r="B19" s="59">
        <f>SUM(B20:B28)</f>
        <v>9</v>
      </c>
      <c r="C19" s="59">
        <f t="shared" ref="C19:G19" si="1">SUM(C20:C28)</f>
        <v>13.5</v>
      </c>
      <c r="D19" s="59">
        <f t="shared" si="1"/>
        <v>18</v>
      </c>
      <c r="E19" s="59">
        <f t="shared" si="1"/>
        <v>22.5</v>
      </c>
      <c r="F19" s="59">
        <f t="shared" si="1"/>
        <v>27</v>
      </c>
      <c r="G19" s="59">
        <f t="shared" si="1"/>
        <v>31.5</v>
      </c>
    </row>
    <row r="20" spans="1:7" x14ac:dyDescent="0.25">
      <c r="A20" s="51" t="s">
        <v>446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x14ac:dyDescent="0.25">
      <c r="A21" s="51" t="s">
        <v>447</v>
      </c>
      <c r="B21" s="58">
        <v>1</v>
      </c>
      <c r="C21" s="58">
        <v>1.5</v>
      </c>
      <c r="D21" s="58">
        <v>2</v>
      </c>
      <c r="E21" s="58">
        <v>2.5</v>
      </c>
      <c r="F21" s="58">
        <v>3</v>
      </c>
      <c r="G21" s="58">
        <v>3.5</v>
      </c>
    </row>
    <row r="22" spans="1:7" x14ac:dyDescent="0.25">
      <c r="A22" s="51" t="s">
        <v>448</v>
      </c>
      <c r="B22" s="58">
        <v>1</v>
      </c>
      <c r="C22" s="58">
        <v>1.5</v>
      </c>
      <c r="D22" s="58">
        <v>2</v>
      </c>
      <c r="E22" s="58">
        <v>2.5</v>
      </c>
      <c r="F22" s="58">
        <v>3</v>
      </c>
      <c r="G22" s="58">
        <v>3.5</v>
      </c>
    </row>
    <row r="23" spans="1:7" x14ac:dyDescent="0.25">
      <c r="A23" s="51" t="s">
        <v>449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x14ac:dyDescent="0.25">
      <c r="A24" s="51" t="s">
        <v>450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x14ac:dyDescent="0.25">
      <c r="A25" s="51" t="s">
        <v>451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x14ac:dyDescent="0.25">
      <c r="A26" s="51" t="s">
        <v>452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x14ac:dyDescent="0.25">
      <c r="A27" s="51" t="s">
        <v>456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x14ac:dyDescent="0.25">
      <c r="A28" s="51" t="s">
        <v>454</v>
      </c>
      <c r="B28" s="58">
        <v>1</v>
      </c>
      <c r="C28" s="58">
        <v>1.5</v>
      </c>
      <c r="D28" s="58">
        <v>2</v>
      </c>
      <c r="E28" s="58">
        <v>2.5</v>
      </c>
      <c r="F28" s="58">
        <v>3</v>
      </c>
      <c r="G28" s="58">
        <v>3.5</v>
      </c>
    </row>
    <row r="29" spans="1:7" ht="14.25" x14ac:dyDescent="0.45">
      <c r="A29" s="52"/>
      <c r="B29" s="52"/>
      <c r="C29" s="52"/>
      <c r="D29" s="52"/>
      <c r="E29" s="52"/>
      <c r="F29" s="52"/>
      <c r="G29" s="52"/>
    </row>
    <row r="30" spans="1:7" x14ac:dyDescent="0.25">
      <c r="A30" s="53" t="s">
        <v>457</v>
      </c>
      <c r="B30" s="59">
        <f>B8+B19</f>
        <v>18</v>
      </c>
      <c r="C30" s="59">
        <f t="shared" ref="C30:G30" si="2">C8+C19</f>
        <v>27</v>
      </c>
      <c r="D30" s="59">
        <f t="shared" si="2"/>
        <v>36</v>
      </c>
      <c r="E30" s="59">
        <f t="shared" si="2"/>
        <v>45</v>
      </c>
      <c r="F30" s="59">
        <f t="shared" si="2"/>
        <v>54</v>
      </c>
      <c r="G30" s="59">
        <f t="shared" si="2"/>
        <v>63</v>
      </c>
    </row>
    <row r="31" spans="1:7" ht="14.25" x14ac:dyDescent="0.45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60" t="s">
        <v>458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459</v>
      </c>
      <c r="B3" s="146"/>
      <c r="C3" s="146"/>
      <c r="D3" s="146"/>
      <c r="E3" s="146"/>
      <c r="F3" s="146"/>
      <c r="G3" s="147"/>
    </row>
    <row r="4" spans="1:7" ht="14.25" x14ac:dyDescent="0.45">
      <c r="A4" s="151" t="s">
        <v>118</v>
      </c>
      <c r="B4" s="152"/>
      <c r="C4" s="152"/>
      <c r="D4" s="152"/>
      <c r="E4" s="152"/>
      <c r="F4" s="152"/>
      <c r="G4" s="153"/>
    </row>
    <row r="5" spans="1:7" x14ac:dyDescent="0.25">
      <c r="A5" s="177" t="s">
        <v>3280</v>
      </c>
      <c r="B5" s="175" t="str">
        <f>ANIO5R</f>
        <v>2016 ¹ (c)</v>
      </c>
      <c r="C5" s="175" t="str">
        <f>ANIO4R</f>
        <v>2017 ¹ (c)</v>
      </c>
      <c r="D5" s="175" t="str">
        <f>ANIO3R</f>
        <v>2018 ¹ (c)</v>
      </c>
      <c r="E5" s="175" t="str">
        <f>ANIO2R</f>
        <v>2019 ¹ (c)</v>
      </c>
      <c r="F5" s="175" t="str">
        <f>ANIO1R</f>
        <v>2020 ¹ (c)</v>
      </c>
      <c r="G5" s="49">
        <f>ANIO_INFORME</f>
        <v>2021</v>
      </c>
    </row>
    <row r="6" spans="1:7" ht="32.1" customHeight="1" x14ac:dyDescent="0.25">
      <c r="A6" s="178"/>
      <c r="B6" s="176"/>
      <c r="C6" s="176"/>
      <c r="D6" s="176"/>
      <c r="E6" s="176"/>
      <c r="F6" s="176"/>
      <c r="G6" s="77" t="s">
        <v>3286</v>
      </c>
    </row>
    <row r="7" spans="1:7" x14ac:dyDescent="0.25">
      <c r="A7" s="50" t="s">
        <v>460</v>
      </c>
      <c r="B7" s="57">
        <f>SUM(B8:B19)</f>
        <v>9</v>
      </c>
      <c r="C7" s="57">
        <f t="shared" ref="C7:G7" si="0">SUM(C8:C19)</f>
        <v>12</v>
      </c>
      <c r="D7" s="57">
        <f t="shared" si="0"/>
        <v>15</v>
      </c>
      <c r="E7" s="57">
        <f t="shared" si="0"/>
        <v>18</v>
      </c>
      <c r="F7" s="57">
        <f t="shared" si="0"/>
        <v>21</v>
      </c>
      <c r="G7" s="57">
        <f t="shared" si="0"/>
        <v>24</v>
      </c>
    </row>
    <row r="8" spans="1:7" x14ac:dyDescent="0.25">
      <c r="A8" s="51" t="s">
        <v>461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462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463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464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465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4" t="s">
        <v>466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467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468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469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x14ac:dyDescent="0.25">
      <c r="A17" s="51" t="s">
        <v>3290</v>
      </c>
      <c r="B17" s="58">
        <v>0.75</v>
      </c>
      <c r="C17" s="58">
        <v>1</v>
      </c>
      <c r="D17" s="58">
        <v>1.25</v>
      </c>
      <c r="E17" s="58">
        <v>1.5</v>
      </c>
      <c r="F17" s="58">
        <v>1.75</v>
      </c>
      <c r="G17" s="58">
        <v>2</v>
      </c>
    </row>
    <row r="18" spans="1:7" x14ac:dyDescent="0.25">
      <c r="A18" s="51" t="s">
        <v>470</v>
      </c>
      <c r="B18" s="58">
        <v>0.75</v>
      </c>
      <c r="C18" s="58">
        <v>1</v>
      </c>
      <c r="D18" s="58">
        <v>1.25</v>
      </c>
      <c r="E18" s="58">
        <v>1.5</v>
      </c>
      <c r="F18" s="58">
        <v>1.75</v>
      </c>
      <c r="G18" s="58">
        <v>2</v>
      </c>
    </row>
    <row r="19" spans="1:7" x14ac:dyDescent="0.25">
      <c r="A19" s="51" t="s">
        <v>471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ht="14.25" x14ac:dyDescent="0.45">
      <c r="A20" s="52"/>
      <c r="B20" s="52"/>
      <c r="C20" s="52"/>
      <c r="D20" s="52"/>
      <c r="E20" s="52"/>
      <c r="F20" s="52"/>
      <c r="G20" s="52"/>
    </row>
    <row r="21" spans="1:7" x14ac:dyDescent="0.25">
      <c r="A21" s="53" t="s">
        <v>477</v>
      </c>
      <c r="B21" s="59">
        <f>SUM(B22:B26)</f>
        <v>3.75</v>
      </c>
      <c r="C21" s="59">
        <f t="shared" ref="C21:G21" si="1">SUM(C22:C26)</f>
        <v>5</v>
      </c>
      <c r="D21" s="59">
        <f t="shared" si="1"/>
        <v>6.25</v>
      </c>
      <c r="E21" s="59">
        <f t="shared" si="1"/>
        <v>7.5</v>
      </c>
      <c r="F21" s="59">
        <f t="shared" si="1"/>
        <v>8.75</v>
      </c>
      <c r="G21" s="59">
        <f t="shared" si="1"/>
        <v>10</v>
      </c>
    </row>
    <row r="22" spans="1:7" x14ac:dyDescent="0.25">
      <c r="A22" s="51" t="s">
        <v>472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473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474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475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476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ht="14.25" x14ac:dyDescent="0.45">
      <c r="A27" s="52"/>
      <c r="B27" s="52"/>
      <c r="C27" s="52"/>
      <c r="D27" s="52"/>
      <c r="E27" s="52"/>
      <c r="F27" s="52"/>
      <c r="G27" s="52"/>
    </row>
    <row r="28" spans="1:7" x14ac:dyDescent="0.25">
      <c r="A28" s="53" t="s">
        <v>478</v>
      </c>
      <c r="B28" s="59">
        <f>B29</f>
        <v>0.75</v>
      </c>
      <c r="C28" s="59">
        <f t="shared" ref="C28:G28" si="2">C29</f>
        <v>1</v>
      </c>
      <c r="D28" s="59">
        <f t="shared" si="2"/>
        <v>1.25</v>
      </c>
      <c r="E28" s="59">
        <f t="shared" si="2"/>
        <v>1.5</v>
      </c>
      <c r="F28" s="59">
        <f t="shared" si="2"/>
        <v>1.75</v>
      </c>
      <c r="G28" s="59">
        <f t="shared" si="2"/>
        <v>2</v>
      </c>
    </row>
    <row r="29" spans="1:7" ht="14.25" x14ac:dyDescent="0.45">
      <c r="A29" s="51" t="s">
        <v>269</v>
      </c>
      <c r="B29" s="58">
        <v>0.75</v>
      </c>
      <c r="C29" s="58">
        <v>1</v>
      </c>
      <c r="D29" s="58">
        <v>1.25</v>
      </c>
      <c r="E29" s="58">
        <v>1.5</v>
      </c>
      <c r="F29" s="58">
        <v>1.75</v>
      </c>
      <c r="G29" s="58">
        <v>2</v>
      </c>
    </row>
    <row r="30" spans="1:7" ht="14.25" x14ac:dyDescent="0.45">
      <c r="A30" s="52"/>
      <c r="B30" s="52"/>
      <c r="C30" s="52"/>
      <c r="D30" s="52"/>
      <c r="E30" s="52"/>
      <c r="F30" s="52"/>
      <c r="G30" s="52"/>
    </row>
    <row r="31" spans="1:7" x14ac:dyDescent="0.25">
      <c r="A31" s="53" t="s">
        <v>479</v>
      </c>
      <c r="B31" s="59">
        <f>B7+B21+B28</f>
        <v>13.5</v>
      </c>
      <c r="C31" s="59">
        <f t="shared" ref="C31:G31" si="3">C7+C21+C28</f>
        <v>18</v>
      </c>
      <c r="D31" s="59">
        <f t="shared" si="3"/>
        <v>22.5</v>
      </c>
      <c r="E31" s="59">
        <f t="shared" si="3"/>
        <v>27</v>
      </c>
      <c r="F31" s="59">
        <f t="shared" si="3"/>
        <v>31.5</v>
      </c>
      <c r="G31" s="59">
        <f t="shared" si="3"/>
        <v>36</v>
      </c>
    </row>
    <row r="32" spans="1:7" ht="14.25" x14ac:dyDescent="0.45">
      <c r="A32" s="52"/>
      <c r="B32" s="52"/>
      <c r="C32" s="52"/>
      <c r="D32" s="52"/>
      <c r="E32" s="52"/>
      <c r="F32" s="52"/>
      <c r="G32" s="52"/>
    </row>
    <row r="33" spans="1:7" ht="14.25" x14ac:dyDescent="0.45">
      <c r="A33" s="53" t="s">
        <v>271</v>
      </c>
      <c r="B33" s="52"/>
      <c r="C33" s="52"/>
      <c r="D33" s="52"/>
      <c r="E33" s="52"/>
      <c r="F33" s="52"/>
      <c r="G33" s="52"/>
    </row>
    <row r="34" spans="1:7" ht="30" x14ac:dyDescent="0.25">
      <c r="A34" s="55" t="s">
        <v>428</v>
      </c>
      <c r="B34" s="58">
        <v>0.75</v>
      </c>
      <c r="C34" s="58">
        <v>1</v>
      </c>
      <c r="D34" s="58">
        <v>1.25</v>
      </c>
      <c r="E34" s="58">
        <v>1.5</v>
      </c>
      <c r="F34" s="58">
        <v>1.75</v>
      </c>
      <c r="G34" s="58">
        <v>2</v>
      </c>
    </row>
    <row r="35" spans="1:7" ht="14.25" x14ac:dyDescent="0.45">
      <c r="A35" s="55" t="s">
        <v>480</v>
      </c>
      <c r="B35" s="58">
        <v>0.75</v>
      </c>
      <c r="C35" s="58">
        <v>1</v>
      </c>
      <c r="D35" s="58">
        <v>1.25</v>
      </c>
      <c r="E35" s="58">
        <v>1.5</v>
      </c>
      <c r="F35" s="58">
        <v>1.75</v>
      </c>
      <c r="G35" s="58">
        <v>2</v>
      </c>
    </row>
    <row r="36" spans="1:7" ht="14.25" x14ac:dyDescent="0.45">
      <c r="A36" s="53" t="s">
        <v>481</v>
      </c>
      <c r="B36" s="59">
        <f>B34+B35</f>
        <v>1.5</v>
      </c>
      <c r="C36" s="59">
        <f t="shared" ref="C36:G36" si="4">C34+C35</f>
        <v>2</v>
      </c>
      <c r="D36" s="59">
        <f t="shared" si="4"/>
        <v>2.5</v>
      </c>
      <c r="E36" s="59">
        <f t="shared" si="4"/>
        <v>3</v>
      </c>
      <c r="F36" s="59">
        <f t="shared" si="4"/>
        <v>3.5</v>
      </c>
      <c r="G36" s="59">
        <f t="shared" si="4"/>
        <v>4</v>
      </c>
    </row>
    <row r="37" spans="1:7" ht="14.25" x14ac:dyDescent="0.45">
      <c r="A37" s="63"/>
      <c r="B37" s="63"/>
      <c r="C37" s="63"/>
      <c r="D37" s="63"/>
      <c r="E37" s="63"/>
      <c r="F37" s="63"/>
      <c r="G37" s="63"/>
    </row>
    <row r="38" spans="1:7" ht="14.25" x14ac:dyDescent="0.45">
      <c r="A38" s="79"/>
    </row>
    <row r="39" spans="1:7" ht="15" customHeight="1" x14ac:dyDescent="0.45">
      <c r="A39" s="174" t="s">
        <v>3284</v>
      </c>
      <c r="B39" s="174"/>
      <c r="C39" s="174"/>
      <c r="D39" s="174"/>
      <c r="E39" s="174"/>
      <c r="F39" s="174"/>
      <c r="G39" s="174"/>
    </row>
    <row r="40" spans="1:7" ht="15" customHeight="1" x14ac:dyDescent="0.25">
      <c r="A40" s="174" t="s">
        <v>3285</v>
      </c>
      <c r="B40" s="174"/>
      <c r="C40" s="174"/>
      <c r="D40" s="174"/>
      <c r="E40" s="174"/>
      <c r="F40" s="174"/>
      <c r="G40" s="17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60" t="s">
        <v>482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483</v>
      </c>
      <c r="B3" s="146"/>
      <c r="C3" s="146"/>
      <c r="D3" s="146"/>
      <c r="E3" s="146"/>
      <c r="F3" s="146"/>
      <c r="G3" s="147"/>
    </row>
    <row r="4" spans="1:7" ht="14.25" x14ac:dyDescent="0.45">
      <c r="A4" s="151" t="s">
        <v>118</v>
      </c>
      <c r="B4" s="152"/>
      <c r="C4" s="152"/>
      <c r="D4" s="152"/>
      <c r="E4" s="152"/>
      <c r="F4" s="152"/>
      <c r="G4" s="153"/>
    </row>
    <row r="5" spans="1:7" x14ac:dyDescent="0.25">
      <c r="A5" s="179" t="s">
        <v>3134</v>
      </c>
      <c r="B5" s="175" t="str">
        <f>ANIO5R</f>
        <v>2016 ¹ (c)</v>
      </c>
      <c r="C5" s="175" t="str">
        <f>ANIO4R</f>
        <v>2017 ¹ (c)</v>
      </c>
      <c r="D5" s="175" t="str">
        <f>ANIO3R</f>
        <v>2018 ¹ (c)</v>
      </c>
      <c r="E5" s="175" t="str">
        <f>ANIO2R</f>
        <v>2019 ¹ (c)</v>
      </c>
      <c r="F5" s="175" t="str">
        <f>ANIO1R</f>
        <v>2020 ¹ (c)</v>
      </c>
      <c r="G5" s="49">
        <f>ANIO_INFORME</f>
        <v>2021</v>
      </c>
    </row>
    <row r="6" spans="1:7" ht="32.1" customHeight="1" x14ac:dyDescent="0.25">
      <c r="A6" s="180"/>
      <c r="B6" s="176"/>
      <c r="C6" s="176"/>
      <c r="D6" s="176"/>
      <c r="E6" s="176"/>
      <c r="F6" s="176"/>
      <c r="G6" s="77" t="s">
        <v>3287</v>
      </c>
    </row>
    <row r="7" spans="1:7" ht="14.25" x14ac:dyDescent="0.45">
      <c r="A7" s="50" t="s">
        <v>484</v>
      </c>
      <c r="B7" s="57">
        <f>SUM(B8:B16)</f>
        <v>6.75</v>
      </c>
      <c r="C7" s="57">
        <f t="shared" ref="C7:G7" si="0">SUM(C8:C16)</f>
        <v>9</v>
      </c>
      <c r="D7" s="57">
        <f t="shared" si="0"/>
        <v>11.25</v>
      </c>
      <c r="E7" s="57">
        <f t="shared" si="0"/>
        <v>13.5</v>
      </c>
      <c r="F7" s="57">
        <f t="shared" si="0"/>
        <v>15.75</v>
      </c>
      <c r="G7" s="57">
        <f t="shared" si="0"/>
        <v>18</v>
      </c>
    </row>
    <row r="8" spans="1:7" x14ac:dyDescent="0.25">
      <c r="A8" s="51" t="s">
        <v>446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447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448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449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450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1" t="s">
        <v>451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452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453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454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ht="14.25" x14ac:dyDescent="0.45">
      <c r="A17" s="52"/>
      <c r="B17" s="52"/>
      <c r="C17" s="52"/>
      <c r="D17" s="52"/>
      <c r="E17" s="52"/>
      <c r="F17" s="52"/>
      <c r="G17" s="52"/>
    </row>
    <row r="18" spans="1:7" ht="14.25" x14ac:dyDescent="0.45">
      <c r="A18" s="53" t="s">
        <v>485</v>
      </c>
      <c r="B18" s="59">
        <f>SUM(B19:B27)</f>
        <v>6.75</v>
      </c>
      <c r="C18" s="59">
        <f t="shared" ref="C18:G18" si="1">SUM(C19:C27)</f>
        <v>9</v>
      </c>
      <c r="D18" s="59">
        <f t="shared" si="1"/>
        <v>11.25</v>
      </c>
      <c r="E18" s="59">
        <f t="shared" si="1"/>
        <v>13.5</v>
      </c>
      <c r="F18" s="59">
        <f t="shared" si="1"/>
        <v>15.75</v>
      </c>
      <c r="G18" s="59">
        <f t="shared" si="1"/>
        <v>18</v>
      </c>
    </row>
    <row r="19" spans="1:7" x14ac:dyDescent="0.25">
      <c r="A19" s="51" t="s">
        <v>446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x14ac:dyDescent="0.25">
      <c r="A20" s="51" t="s">
        <v>447</v>
      </c>
      <c r="B20" s="58">
        <v>0.75</v>
      </c>
      <c r="C20" s="58">
        <v>1</v>
      </c>
      <c r="D20" s="58">
        <v>1.25</v>
      </c>
      <c r="E20" s="58">
        <v>1.5</v>
      </c>
      <c r="F20" s="58">
        <v>1.75</v>
      </c>
      <c r="G20" s="58">
        <v>2</v>
      </c>
    </row>
    <row r="21" spans="1:7" x14ac:dyDescent="0.25">
      <c r="A21" s="51" t="s">
        <v>448</v>
      </c>
      <c r="B21" s="58">
        <v>0.75</v>
      </c>
      <c r="C21" s="58">
        <v>1</v>
      </c>
      <c r="D21" s="58">
        <v>1.25</v>
      </c>
      <c r="E21" s="58">
        <v>1.5</v>
      </c>
      <c r="F21" s="58">
        <v>1.75</v>
      </c>
      <c r="G21" s="58">
        <v>2</v>
      </c>
    </row>
    <row r="22" spans="1:7" x14ac:dyDescent="0.25">
      <c r="A22" s="51" t="s">
        <v>449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450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451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452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456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x14ac:dyDescent="0.25">
      <c r="A27" s="51" t="s">
        <v>454</v>
      </c>
      <c r="B27" s="58">
        <v>0.75</v>
      </c>
      <c r="C27" s="58">
        <v>1</v>
      </c>
      <c r="D27" s="58">
        <v>1.25</v>
      </c>
      <c r="E27" s="58">
        <v>1.5</v>
      </c>
      <c r="F27" s="58">
        <v>1.75</v>
      </c>
      <c r="G27" s="58">
        <v>2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x14ac:dyDescent="0.25">
      <c r="A29" s="53" t="s">
        <v>486</v>
      </c>
      <c r="B29" s="58">
        <f>B7+B18</f>
        <v>13.5</v>
      </c>
      <c r="C29" s="58">
        <f t="shared" ref="C29:G29" si="2">C7+C18</f>
        <v>18</v>
      </c>
      <c r="D29" s="58">
        <f t="shared" si="2"/>
        <v>22.5</v>
      </c>
      <c r="E29" s="58">
        <f t="shared" si="2"/>
        <v>27</v>
      </c>
      <c r="F29" s="58">
        <f t="shared" si="2"/>
        <v>31.5</v>
      </c>
      <c r="G29" s="58">
        <f t="shared" si="2"/>
        <v>36</v>
      </c>
    </row>
    <row r="30" spans="1:7" ht="14.25" x14ac:dyDescent="0.45">
      <c r="A30" s="56"/>
      <c r="B30" s="56"/>
      <c r="C30" s="56"/>
      <c r="D30" s="56"/>
      <c r="E30" s="56"/>
      <c r="F30" s="56"/>
      <c r="G30" s="56"/>
    </row>
    <row r="31" spans="1:7" ht="14.25" x14ac:dyDescent="0.45">
      <c r="A31" s="79"/>
    </row>
    <row r="32" spans="1:7" ht="14.25" x14ac:dyDescent="0.45">
      <c r="A32" s="174" t="s">
        <v>3284</v>
      </c>
      <c r="B32" s="174"/>
      <c r="C32" s="174"/>
      <c r="D32" s="174"/>
      <c r="E32" s="174"/>
      <c r="F32" s="174"/>
      <c r="G32" s="174"/>
    </row>
    <row r="33" spans="1:7" x14ac:dyDescent="0.25">
      <c r="A33" s="174" t="s">
        <v>3285</v>
      </c>
      <c r="B33" s="174"/>
      <c r="C33" s="174"/>
      <c r="D33" s="174"/>
      <c r="E33" s="174"/>
      <c r="F33" s="174"/>
      <c r="G33" s="17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0" customFormat="1" ht="34.5" customHeight="1" x14ac:dyDescent="0.25">
      <c r="A1" s="154" t="s">
        <v>487</v>
      </c>
      <c r="B1" s="154"/>
      <c r="C1" s="154"/>
      <c r="D1" s="154"/>
      <c r="E1" s="154"/>
      <c r="F1" s="154"/>
      <c r="G1" s="100"/>
    </row>
    <row r="2" spans="1:7" ht="14.25" x14ac:dyDescent="0.45">
      <c r="A2" s="142" t="str">
        <f>ENTE_PUBLICO</f>
        <v>MUNICIPIO DE SILAO DE LA VICTORIA, Gobierno del Estado de Guanajuato</v>
      </c>
      <c r="B2" s="143"/>
      <c r="C2" s="143"/>
      <c r="D2" s="143"/>
      <c r="E2" s="143"/>
      <c r="F2" s="144"/>
    </row>
    <row r="3" spans="1:7" ht="14.25" x14ac:dyDescent="0.45">
      <c r="A3" s="151" t="s">
        <v>488</v>
      </c>
      <c r="B3" s="152"/>
      <c r="C3" s="152"/>
      <c r="D3" s="152"/>
      <c r="E3" s="152"/>
      <c r="F3" s="153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22" t="s">
        <v>494</v>
      </c>
      <c r="B5" s="5"/>
      <c r="C5" s="5"/>
      <c r="D5" s="5"/>
      <c r="E5" s="5"/>
      <c r="F5" s="5"/>
    </row>
    <row r="6" spans="1:7" ht="30" x14ac:dyDescent="0.25">
      <c r="A6" s="123" t="s">
        <v>495</v>
      </c>
      <c r="B6" s="58"/>
      <c r="C6" s="58"/>
      <c r="D6" s="58"/>
      <c r="E6" s="58"/>
      <c r="F6" s="58"/>
    </row>
    <row r="7" spans="1:7" x14ac:dyDescent="0.25">
      <c r="A7" s="123" t="s">
        <v>496</v>
      </c>
      <c r="B7" s="58"/>
      <c r="C7" s="58"/>
      <c r="D7" s="58"/>
      <c r="E7" s="58"/>
      <c r="F7" s="58"/>
    </row>
    <row r="8" spans="1:7" ht="14.25" x14ac:dyDescent="0.45">
      <c r="A8" s="124"/>
      <c r="B8" s="52"/>
      <c r="C8" s="52"/>
      <c r="D8" s="52"/>
      <c r="E8" s="52"/>
      <c r="F8" s="52"/>
    </row>
    <row r="9" spans="1:7" x14ac:dyDescent="0.25">
      <c r="A9" s="122" t="s">
        <v>497</v>
      </c>
      <c r="B9" s="52"/>
      <c r="C9" s="52"/>
      <c r="D9" s="52"/>
      <c r="E9" s="52"/>
      <c r="F9" s="52"/>
    </row>
    <row r="10" spans="1:7" ht="14.25" x14ac:dyDescent="0.45">
      <c r="A10" s="123" t="s">
        <v>498</v>
      </c>
      <c r="B10" s="58"/>
      <c r="C10" s="58"/>
      <c r="D10" s="58"/>
      <c r="E10" s="58"/>
      <c r="F10" s="58"/>
    </row>
    <row r="11" spans="1:7" x14ac:dyDescent="0.25">
      <c r="A11" s="125" t="s">
        <v>499</v>
      </c>
      <c r="B11" s="58"/>
      <c r="C11" s="58"/>
      <c r="D11" s="58"/>
      <c r="E11" s="58"/>
      <c r="F11" s="58"/>
    </row>
    <row r="12" spans="1:7" x14ac:dyDescent="0.25">
      <c r="A12" s="125" t="s">
        <v>500</v>
      </c>
      <c r="B12" s="58"/>
      <c r="C12" s="58"/>
      <c r="D12" s="58"/>
      <c r="E12" s="58"/>
      <c r="F12" s="58"/>
    </row>
    <row r="13" spans="1:7" ht="14.25" x14ac:dyDescent="0.45">
      <c r="A13" s="125" t="s">
        <v>501</v>
      </c>
      <c r="B13" s="58"/>
      <c r="C13" s="58"/>
      <c r="D13" s="58"/>
      <c r="E13" s="58"/>
      <c r="F13" s="58"/>
    </row>
    <row r="14" spans="1:7" ht="14.25" x14ac:dyDescent="0.45">
      <c r="A14" s="123" t="s">
        <v>502</v>
      </c>
      <c r="B14" s="58"/>
      <c r="C14" s="58"/>
      <c r="D14" s="58"/>
      <c r="E14" s="58"/>
      <c r="F14" s="58"/>
    </row>
    <row r="15" spans="1:7" x14ac:dyDescent="0.25">
      <c r="A15" s="125" t="s">
        <v>499</v>
      </c>
      <c r="B15" s="58"/>
      <c r="C15" s="58"/>
      <c r="D15" s="58"/>
      <c r="E15" s="58"/>
      <c r="F15" s="58"/>
    </row>
    <row r="16" spans="1:7" x14ac:dyDescent="0.25">
      <c r="A16" s="125" t="s">
        <v>500</v>
      </c>
      <c r="B16" s="58"/>
      <c r="C16" s="58"/>
      <c r="D16" s="58"/>
      <c r="E16" s="58"/>
      <c r="F16" s="58"/>
    </row>
    <row r="17" spans="1:6" ht="14.25" x14ac:dyDescent="0.45">
      <c r="A17" s="125" t="s">
        <v>501</v>
      </c>
      <c r="B17" s="58"/>
      <c r="C17" s="58"/>
      <c r="D17" s="58"/>
      <c r="E17" s="58"/>
      <c r="F17" s="58"/>
    </row>
    <row r="18" spans="1:6" ht="14.25" x14ac:dyDescent="0.45">
      <c r="A18" s="123" t="s">
        <v>503</v>
      </c>
      <c r="B18" s="131"/>
      <c r="C18" s="58"/>
      <c r="D18" s="58"/>
      <c r="E18" s="58"/>
      <c r="F18" s="58"/>
    </row>
    <row r="19" spans="1:6" x14ac:dyDescent="0.25">
      <c r="A19" s="123" t="s">
        <v>504</v>
      </c>
      <c r="B19" s="58"/>
      <c r="C19" s="58"/>
      <c r="D19" s="58"/>
      <c r="E19" s="58"/>
      <c r="F19" s="58"/>
    </row>
    <row r="20" spans="1:6" x14ac:dyDescent="0.25">
      <c r="A20" s="123" t="s">
        <v>505</v>
      </c>
      <c r="B20" s="132"/>
      <c r="C20" s="132"/>
      <c r="D20" s="132"/>
      <c r="E20" s="132"/>
      <c r="F20" s="132"/>
    </row>
    <row r="21" spans="1:6" x14ac:dyDescent="0.25">
      <c r="A21" s="123" t="s">
        <v>506</v>
      </c>
      <c r="B21" s="132"/>
      <c r="C21" s="132"/>
      <c r="D21" s="132"/>
      <c r="E21" s="132"/>
      <c r="F21" s="132"/>
    </row>
    <row r="22" spans="1:6" ht="14.25" x14ac:dyDescent="0.45">
      <c r="A22" s="62" t="s">
        <v>507</v>
      </c>
      <c r="B22" s="132"/>
      <c r="C22" s="132"/>
      <c r="D22" s="132"/>
      <c r="E22" s="132"/>
      <c r="F22" s="132"/>
    </row>
    <row r="23" spans="1:6" ht="14.25" x14ac:dyDescent="0.45">
      <c r="A23" s="62" t="s">
        <v>508</v>
      </c>
      <c r="B23" s="132"/>
      <c r="C23" s="132"/>
      <c r="D23" s="132"/>
      <c r="E23" s="132"/>
      <c r="F23" s="132"/>
    </row>
    <row r="24" spans="1:6" x14ac:dyDescent="0.25">
      <c r="A24" s="62" t="s">
        <v>509</v>
      </c>
      <c r="B24" s="133"/>
      <c r="C24" s="58"/>
      <c r="D24" s="58"/>
      <c r="E24" s="58"/>
      <c r="F24" s="58"/>
    </row>
    <row r="25" spans="1:6" ht="14.25" x14ac:dyDescent="0.45">
      <c r="A25" s="123" t="s">
        <v>510</v>
      </c>
      <c r="B25" s="133"/>
      <c r="C25" s="58"/>
      <c r="D25" s="58"/>
      <c r="E25" s="58"/>
      <c r="F25" s="58"/>
    </row>
    <row r="26" spans="1:6" ht="14.25" x14ac:dyDescent="0.45">
      <c r="A26" s="124"/>
      <c r="B26" s="52"/>
      <c r="C26" s="52"/>
      <c r="D26" s="52"/>
      <c r="E26" s="52"/>
      <c r="F26" s="52"/>
    </row>
    <row r="27" spans="1:6" ht="14.25" x14ac:dyDescent="0.45">
      <c r="A27" s="122" t="s">
        <v>511</v>
      </c>
      <c r="B27" s="52"/>
      <c r="C27" s="52"/>
      <c r="D27" s="52"/>
      <c r="E27" s="52"/>
      <c r="F27" s="52"/>
    </row>
    <row r="28" spans="1:6" ht="14.25" x14ac:dyDescent="0.45">
      <c r="A28" s="123" t="s">
        <v>512</v>
      </c>
      <c r="B28" s="58"/>
      <c r="C28" s="58"/>
      <c r="D28" s="58"/>
      <c r="E28" s="58"/>
      <c r="F28" s="58"/>
    </row>
    <row r="29" spans="1:6" ht="14.25" x14ac:dyDescent="0.45">
      <c r="A29" s="124"/>
      <c r="B29" s="52"/>
      <c r="C29" s="52"/>
      <c r="D29" s="52"/>
      <c r="E29" s="52"/>
      <c r="F29" s="52"/>
    </row>
    <row r="30" spans="1:6" x14ac:dyDescent="0.25">
      <c r="A30" s="122" t="s">
        <v>513</v>
      </c>
      <c r="B30" s="52"/>
      <c r="C30" s="52"/>
      <c r="D30" s="52"/>
      <c r="E30" s="52"/>
      <c r="F30" s="52"/>
    </row>
    <row r="31" spans="1:6" ht="14.25" x14ac:dyDescent="0.45">
      <c r="A31" s="123" t="s">
        <v>498</v>
      </c>
      <c r="B31" s="58"/>
      <c r="C31" s="58"/>
      <c r="D31" s="58"/>
      <c r="E31" s="58"/>
      <c r="F31" s="58"/>
    </row>
    <row r="32" spans="1:6" ht="14.25" x14ac:dyDescent="0.45">
      <c r="A32" s="123" t="s">
        <v>502</v>
      </c>
      <c r="B32" s="58"/>
      <c r="C32" s="58"/>
      <c r="D32" s="58"/>
      <c r="E32" s="58"/>
      <c r="F32" s="58"/>
    </row>
    <row r="33" spans="1:6" ht="14.25" x14ac:dyDescent="0.45">
      <c r="A33" s="123" t="s">
        <v>514</v>
      </c>
      <c r="B33" s="58"/>
      <c r="C33" s="58"/>
      <c r="D33" s="58"/>
      <c r="E33" s="58"/>
      <c r="F33" s="58"/>
    </row>
    <row r="34" spans="1:6" ht="14.25" x14ac:dyDescent="0.45">
      <c r="A34" s="124"/>
      <c r="B34" s="52"/>
      <c r="C34" s="52"/>
      <c r="D34" s="52"/>
      <c r="E34" s="52"/>
      <c r="F34" s="52"/>
    </row>
    <row r="35" spans="1:6" x14ac:dyDescent="0.25">
      <c r="A35" s="122" t="s">
        <v>515</v>
      </c>
      <c r="B35" s="52"/>
      <c r="C35" s="52"/>
      <c r="D35" s="52"/>
      <c r="E35" s="52"/>
      <c r="F35" s="52"/>
    </row>
    <row r="36" spans="1:6" x14ac:dyDescent="0.25">
      <c r="A36" s="123" t="s">
        <v>516</v>
      </c>
      <c r="B36" s="58"/>
      <c r="C36" s="58"/>
      <c r="D36" s="58"/>
      <c r="E36" s="58"/>
      <c r="F36" s="58"/>
    </row>
    <row r="37" spans="1:6" x14ac:dyDescent="0.25">
      <c r="A37" s="123" t="s">
        <v>517</v>
      </c>
      <c r="B37" s="58"/>
      <c r="C37" s="58"/>
      <c r="D37" s="58"/>
      <c r="E37" s="58"/>
      <c r="F37" s="58"/>
    </row>
    <row r="38" spans="1:6" ht="14.25" x14ac:dyDescent="0.45">
      <c r="A38" s="123" t="s">
        <v>518</v>
      </c>
      <c r="B38" s="133"/>
      <c r="C38" s="58"/>
      <c r="D38" s="58"/>
      <c r="E38" s="58"/>
      <c r="F38" s="58"/>
    </row>
    <row r="39" spans="1:6" ht="14.25" x14ac:dyDescent="0.45">
      <c r="A39" s="124"/>
      <c r="B39" s="52"/>
      <c r="C39" s="52"/>
      <c r="D39" s="52"/>
      <c r="E39" s="52"/>
      <c r="F39" s="52"/>
    </row>
    <row r="40" spans="1:6" ht="14.25" x14ac:dyDescent="0.45">
      <c r="A40" s="122" t="s">
        <v>519</v>
      </c>
      <c r="B40" s="58"/>
      <c r="C40" s="58"/>
      <c r="D40" s="58"/>
      <c r="E40" s="58"/>
      <c r="F40" s="58"/>
    </row>
    <row r="41" spans="1:6" ht="14.25" x14ac:dyDescent="0.45">
      <c r="A41" s="124"/>
      <c r="B41" s="52"/>
      <c r="C41" s="52"/>
      <c r="D41" s="52"/>
      <c r="E41" s="52"/>
      <c r="F41" s="52"/>
    </row>
    <row r="42" spans="1:6" ht="14.25" x14ac:dyDescent="0.45">
      <c r="A42" s="122" t="s">
        <v>520</v>
      </c>
      <c r="B42" s="52"/>
      <c r="C42" s="52"/>
      <c r="D42" s="52"/>
      <c r="E42" s="52"/>
      <c r="F42" s="52"/>
    </row>
    <row r="43" spans="1:6" ht="14.25" x14ac:dyDescent="0.45">
      <c r="A43" s="123" t="s">
        <v>521</v>
      </c>
      <c r="B43" s="58"/>
      <c r="C43" s="58"/>
      <c r="D43" s="58"/>
      <c r="E43" s="58"/>
      <c r="F43" s="58"/>
    </row>
    <row r="44" spans="1:6" x14ac:dyDescent="0.25">
      <c r="A44" s="123" t="s">
        <v>522</v>
      </c>
      <c r="B44" s="58"/>
      <c r="C44" s="58"/>
      <c r="D44" s="58"/>
      <c r="E44" s="58"/>
      <c r="F44" s="58"/>
    </row>
    <row r="45" spans="1:6" ht="14.25" x14ac:dyDescent="0.45">
      <c r="A45" s="123" t="s">
        <v>523</v>
      </c>
      <c r="B45" s="58"/>
      <c r="C45" s="58"/>
      <c r="D45" s="58"/>
      <c r="E45" s="58"/>
      <c r="F45" s="58"/>
    </row>
    <row r="46" spans="1:6" ht="14.25" x14ac:dyDescent="0.45">
      <c r="A46" s="124"/>
      <c r="B46" s="52"/>
      <c r="C46" s="52"/>
      <c r="D46" s="52"/>
      <c r="E46" s="52"/>
      <c r="F46" s="52"/>
    </row>
    <row r="47" spans="1:6" ht="30" x14ac:dyDescent="0.25">
      <c r="A47" s="122" t="s">
        <v>524</v>
      </c>
      <c r="B47" s="52"/>
      <c r="C47" s="52"/>
      <c r="D47" s="52"/>
      <c r="E47" s="52"/>
      <c r="F47" s="52"/>
    </row>
    <row r="48" spans="1:6" x14ac:dyDescent="0.25">
      <c r="A48" s="62" t="s">
        <v>522</v>
      </c>
      <c r="B48" s="132"/>
      <c r="C48" s="132"/>
      <c r="D48" s="132"/>
      <c r="E48" s="132"/>
      <c r="F48" s="132"/>
    </row>
    <row r="49" spans="1:6" x14ac:dyDescent="0.25">
      <c r="A49" s="62" t="s">
        <v>523</v>
      </c>
      <c r="B49" s="132"/>
      <c r="C49" s="132"/>
      <c r="D49" s="132"/>
      <c r="E49" s="132"/>
      <c r="F49" s="132"/>
    </row>
    <row r="50" spans="1:6" x14ac:dyDescent="0.25">
      <c r="A50" s="124"/>
      <c r="B50" s="52"/>
      <c r="C50" s="52"/>
      <c r="D50" s="52"/>
      <c r="E50" s="52"/>
      <c r="F50" s="52"/>
    </row>
    <row r="51" spans="1:6" x14ac:dyDescent="0.25">
      <c r="A51" s="122" t="s">
        <v>525</v>
      </c>
      <c r="B51" s="52"/>
      <c r="C51" s="52"/>
      <c r="D51" s="52"/>
      <c r="E51" s="52"/>
      <c r="F51" s="52"/>
    </row>
    <row r="52" spans="1:6" x14ac:dyDescent="0.25">
      <c r="A52" s="123" t="s">
        <v>522</v>
      </c>
      <c r="B52" s="58"/>
      <c r="C52" s="58"/>
      <c r="D52" s="58"/>
      <c r="E52" s="58"/>
      <c r="F52" s="58"/>
    </row>
    <row r="53" spans="1:6" x14ac:dyDescent="0.25">
      <c r="A53" s="123" t="s">
        <v>523</v>
      </c>
      <c r="B53" s="58"/>
      <c r="C53" s="58"/>
      <c r="D53" s="58"/>
      <c r="E53" s="58"/>
      <c r="F53" s="58"/>
    </row>
    <row r="54" spans="1:6" x14ac:dyDescent="0.25">
      <c r="A54" s="123" t="s">
        <v>526</v>
      </c>
      <c r="B54" s="58"/>
      <c r="C54" s="58"/>
      <c r="D54" s="58"/>
      <c r="E54" s="58"/>
      <c r="F54" s="58"/>
    </row>
    <row r="55" spans="1:6" x14ac:dyDescent="0.25">
      <c r="A55" s="124"/>
      <c r="B55" s="52"/>
      <c r="C55" s="52"/>
      <c r="D55" s="52"/>
      <c r="E55" s="52"/>
      <c r="F55" s="52"/>
    </row>
    <row r="56" spans="1:6" x14ac:dyDescent="0.25">
      <c r="A56" s="122" t="s">
        <v>527</v>
      </c>
      <c r="B56" s="52"/>
      <c r="C56" s="52"/>
      <c r="D56" s="52"/>
      <c r="E56" s="52"/>
      <c r="F56" s="52"/>
    </row>
    <row r="57" spans="1:6" x14ac:dyDescent="0.25">
      <c r="A57" s="123" t="s">
        <v>522</v>
      </c>
      <c r="B57" s="58"/>
      <c r="C57" s="58"/>
      <c r="D57" s="58"/>
      <c r="E57" s="58"/>
      <c r="F57" s="58"/>
    </row>
    <row r="58" spans="1:6" x14ac:dyDescent="0.25">
      <c r="A58" s="123" t="s">
        <v>523</v>
      </c>
      <c r="B58" s="58"/>
      <c r="C58" s="58"/>
      <c r="D58" s="58"/>
      <c r="E58" s="58"/>
      <c r="F58" s="58"/>
    </row>
    <row r="59" spans="1:6" x14ac:dyDescent="0.25">
      <c r="A59" s="124"/>
      <c r="B59" s="52"/>
      <c r="C59" s="52"/>
      <c r="D59" s="52"/>
      <c r="E59" s="52"/>
      <c r="F59" s="52"/>
    </row>
    <row r="60" spans="1:6" x14ac:dyDescent="0.25">
      <c r="A60" s="122" t="s">
        <v>528</v>
      </c>
      <c r="B60" s="52"/>
      <c r="C60" s="52"/>
      <c r="D60" s="52"/>
      <c r="E60" s="52"/>
      <c r="F60" s="52"/>
    </row>
    <row r="61" spans="1:6" x14ac:dyDescent="0.25">
      <c r="A61" s="123" t="s">
        <v>529</v>
      </c>
      <c r="B61" s="58"/>
      <c r="C61" s="58"/>
      <c r="D61" s="58"/>
      <c r="E61" s="58"/>
      <c r="F61" s="58"/>
    </row>
    <row r="62" spans="1:6" x14ac:dyDescent="0.25">
      <c r="A62" s="123" t="s">
        <v>530</v>
      </c>
      <c r="B62" s="133"/>
      <c r="C62" s="58"/>
      <c r="D62" s="58"/>
      <c r="E62" s="58"/>
      <c r="F62" s="58"/>
    </row>
    <row r="63" spans="1:6" x14ac:dyDescent="0.25">
      <c r="A63" s="124"/>
      <c r="B63" s="52"/>
      <c r="C63" s="52"/>
      <c r="D63" s="52"/>
      <c r="E63" s="52"/>
      <c r="F63" s="52"/>
    </row>
    <row r="64" spans="1:6" x14ac:dyDescent="0.25">
      <c r="A64" s="122" t="s">
        <v>531</v>
      </c>
      <c r="B64" s="52"/>
      <c r="C64" s="52"/>
      <c r="D64" s="52"/>
      <c r="E64" s="52"/>
      <c r="F64" s="52"/>
    </row>
    <row r="65" spans="1:6" x14ac:dyDescent="0.25">
      <c r="A65" s="123" t="s">
        <v>532</v>
      </c>
      <c r="B65" s="58"/>
      <c r="C65" s="58"/>
      <c r="D65" s="58"/>
      <c r="E65" s="58"/>
      <c r="F65" s="58"/>
    </row>
    <row r="66" spans="1:6" x14ac:dyDescent="0.25">
      <c r="A66" s="123" t="s">
        <v>533</v>
      </c>
      <c r="B66" s="58"/>
      <c r="C66" s="58"/>
      <c r="D66" s="58"/>
      <c r="E66" s="58"/>
      <c r="F66" s="58"/>
    </row>
    <row r="67" spans="1:6" x14ac:dyDescent="0.25">
      <c r="A67" s="128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9" customFormat="1" ht="37.5" customHeight="1" x14ac:dyDescent="0.25">
      <c r="A1" s="154" t="s">
        <v>537</v>
      </c>
      <c r="B1" s="154"/>
      <c r="C1" s="154"/>
      <c r="D1" s="154"/>
      <c r="E1" s="154"/>
      <c r="F1" s="154"/>
    </row>
    <row r="2" spans="1:6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4"/>
    </row>
    <row r="3" spans="1:6" x14ac:dyDescent="0.25">
      <c r="A3" s="145" t="s">
        <v>117</v>
      </c>
      <c r="B3" s="146"/>
      <c r="C3" s="146"/>
      <c r="D3" s="146"/>
      <c r="E3" s="146"/>
      <c r="F3" s="147"/>
    </row>
    <row r="4" spans="1:6" ht="14.25" x14ac:dyDescent="0.45">
      <c r="A4" s="148" t="str">
        <f>PERIODO_INFORME</f>
        <v>Al 31 de diciembre de 2020 y al 30 de junio de 2021 (b)</v>
      </c>
      <c r="B4" s="149"/>
      <c r="C4" s="149"/>
      <c r="D4" s="149"/>
      <c r="E4" s="149"/>
      <c r="F4" s="150"/>
    </row>
    <row r="5" spans="1:6" ht="14.25" x14ac:dyDescent="0.45">
      <c r="A5" s="151" t="s">
        <v>118</v>
      </c>
      <c r="B5" s="152"/>
      <c r="C5" s="152"/>
      <c r="D5" s="152"/>
      <c r="E5" s="152"/>
      <c r="F5" s="153"/>
    </row>
    <row r="6" spans="1:6" s="3" customFormat="1" ht="28.5" x14ac:dyDescent="0.45">
      <c r="A6" s="119" t="s">
        <v>3276</v>
      </c>
      <c r="B6" s="120" t="str">
        <f>ANIO</f>
        <v>2021 (d)</v>
      </c>
      <c r="C6" s="117" t="str">
        <f>ULTIMO</f>
        <v>31 de diciembre de 2020 (e)</v>
      </c>
      <c r="D6" s="121" t="s">
        <v>0</v>
      </c>
      <c r="E6" s="120" t="str">
        <f>ANIO</f>
        <v>2021 (d)</v>
      </c>
      <c r="F6" s="117" t="str">
        <f>ULTIMO</f>
        <v>31 de diciembre de 2020 (e)</v>
      </c>
    </row>
    <row r="7" spans="1:6" ht="14.25" x14ac:dyDescent="0.45">
      <c r="A7" s="83" t="s">
        <v>1</v>
      </c>
      <c r="B7" s="76"/>
      <c r="C7" s="76"/>
      <c r="D7" s="87" t="s">
        <v>52</v>
      </c>
      <c r="E7" s="76"/>
      <c r="F7" s="76"/>
    </row>
    <row r="8" spans="1:6" ht="14.25" x14ac:dyDescent="0.45">
      <c r="A8" s="37" t="s">
        <v>2</v>
      </c>
      <c r="B8" s="52"/>
      <c r="C8" s="52"/>
      <c r="D8" s="88" t="s">
        <v>53</v>
      </c>
      <c r="E8" s="52"/>
      <c r="F8" s="52"/>
    </row>
    <row r="9" spans="1:6" x14ac:dyDescent="0.25">
      <c r="A9" s="84" t="s">
        <v>3</v>
      </c>
      <c r="B9" s="135">
        <f>SUM(B10:B16)</f>
        <v>39268418.060000002</v>
      </c>
      <c r="C9" s="135">
        <f>SUM(C10:C16)</f>
        <v>20432998.399999999</v>
      </c>
      <c r="D9" s="89" t="s">
        <v>54</v>
      </c>
      <c r="E9" s="135">
        <f>SUM(E10:E18)</f>
        <v>47637978.549999997</v>
      </c>
      <c r="F9" s="135">
        <f>SUM(F10:F18)</f>
        <v>75814407.020000011</v>
      </c>
    </row>
    <row r="10" spans="1:6" x14ac:dyDescent="0.25">
      <c r="A10" s="85" t="s">
        <v>4</v>
      </c>
      <c r="B10" s="136">
        <v>0</v>
      </c>
      <c r="C10" s="136">
        <v>0</v>
      </c>
      <c r="D10" s="90" t="s">
        <v>55</v>
      </c>
      <c r="E10" s="136">
        <v>0</v>
      </c>
      <c r="F10" s="136">
        <v>7829449.0300000003</v>
      </c>
    </row>
    <row r="11" spans="1:6" x14ac:dyDescent="0.25">
      <c r="A11" s="85" t="s">
        <v>5</v>
      </c>
      <c r="B11" s="136">
        <v>30727787.18</v>
      </c>
      <c r="C11" s="136">
        <v>14250768.01</v>
      </c>
      <c r="D11" s="90" t="s">
        <v>56</v>
      </c>
      <c r="E11" s="136">
        <v>39624454.82</v>
      </c>
      <c r="F11" s="136">
        <v>51774714.5</v>
      </c>
    </row>
    <row r="12" spans="1:6" x14ac:dyDescent="0.25">
      <c r="A12" s="85" t="s">
        <v>6</v>
      </c>
      <c r="B12" s="136">
        <v>0</v>
      </c>
      <c r="C12" s="136">
        <v>0</v>
      </c>
      <c r="D12" s="90" t="s">
        <v>57</v>
      </c>
      <c r="E12" s="136">
        <v>807863.64</v>
      </c>
      <c r="F12" s="136">
        <v>8152699.6900000004</v>
      </c>
    </row>
    <row r="13" spans="1:6" x14ac:dyDescent="0.25">
      <c r="A13" s="85" t="s">
        <v>7</v>
      </c>
      <c r="B13" s="136">
        <v>8470000</v>
      </c>
      <c r="C13" s="136">
        <v>465.82</v>
      </c>
      <c r="D13" s="90" t="s">
        <v>58</v>
      </c>
      <c r="E13" s="136">
        <v>0</v>
      </c>
      <c r="F13" s="136">
        <v>0</v>
      </c>
    </row>
    <row r="14" spans="1:6" x14ac:dyDescent="0.25">
      <c r="A14" s="85" t="s">
        <v>8</v>
      </c>
      <c r="B14" s="136">
        <v>70630.880000000005</v>
      </c>
      <c r="C14" s="136">
        <v>6181764.5700000003</v>
      </c>
      <c r="D14" s="90" t="s">
        <v>59</v>
      </c>
      <c r="E14" s="136">
        <v>202299.68</v>
      </c>
      <c r="F14" s="136">
        <v>2722136.84</v>
      </c>
    </row>
    <row r="15" spans="1:6" x14ac:dyDescent="0.25">
      <c r="A15" s="85" t="s">
        <v>9</v>
      </c>
      <c r="B15" s="136">
        <v>0</v>
      </c>
      <c r="C15" s="136">
        <v>0</v>
      </c>
      <c r="D15" s="90" t="s">
        <v>60</v>
      </c>
      <c r="E15" s="136">
        <v>0</v>
      </c>
      <c r="F15" s="136">
        <v>0</v>
      </c>
    </row>
    <row r="16" spans="1:6" x14ac:dyDescent="0.25">
      <c r="A16" s="85" t="s">
        <v>10</v>
      </c>
      <c r="B16" s="136">
        <v>0</v>
      </c>
      <c r="C16" s="136">
        <v>0</v>
      </c>
      <c r="D16" s="90" t="s">
        <v>61</v>
      </c>
      <c r="E16" s="136">
        <v>1751509.83</v>
      </c>
      <c r="F16" s="136">
        <v>457703.92</v>
      </c>
    </row>
    <row r="17" spans="1:6" x14ac:dyDescent="0.25">
      <c r="A17" s="84" t="s">
        <v>11</v>
      </c>
      <c r="B17" s="135">
        <f>SUM(B18:B24)</f>
        <v>91071535.469999999</v>
      </c>
      <c r="C17" s="135">
        <f>SUM(C18:C24)</f>
        <v>2778845.6100000003</v>
      </c>
      <c r="D17" s="90" t="s">
        <v>62</v>
      </c>
      <c r="E17" s="136">
        <v>0</v>
      </c>
      <c r="F17" s="136">
        <v>0</v>
      </c>
    </row>
    <row r="18" spans="1:6" x14ac:dyDescent="0.25">
      <c r="A18" s="86" t="s">
        <v>12</v>
      </c>
      <c r="B18" s="136">
        <v>0</v>
      </c>
      <c r="C18" s="136">
        <v>0</v>
      </c>
      <c r="D18" s="90" t="s">
        <v>63</v>
      </c>
      <c r="E18" s="136">
        <v>5251850.58</v>
      </c>
      <c r="F18" s="136">
        <v>4877703.04</v>
      </c>
    </row>
    <row r="19" spans="1:6" x14ac:dyDescent="0.25">
      <c r="A19" s="86" t="s">
        <v>13</v>
      </c>
      <c r="B19" s="136">
        <v>0</v>
      </c>
      <c r="C19" s="136">
        <v>400000</v>
      </c>
      <c r="D19" s="89" t="s">
        <v>64</v>
      </c>
      <c r="E19" s="135">
        <f>SUM(E20:E22)</f>
        <v>0</v>
      </c>
      <c r="F19" s="135">
        <f>SUM(F20:F22)</f>
        <v>0</v>
      </c>
    </row>
    <row r="20" spans="1:6" x14ac:dyDescent="0.25">
      <c r="A20" s="86" t="s">
        <v>14</v>
      </c>
      <c r="B20" s="136">
        <v>147487.26</v>
      </c>
      <c r="C20" s="136">
        <v>43723.51</v>
      </c>
      <c r="D20" s="90" t="s">
        <v>65</v>
      </c>
      <c r="E20" s="136">
        <v>0</v>
      </c>
      <c r="F20" s="136">
        <v>0</v>
      </c>
    </row>
    <row r="21" spans="1:6" x14ac:dyDescent="0.25">
      <c r="A21" s="86" t="s">
        <v>15</v>
      </c>
      <c r="B21" s="136">
        <v>1290744.3</v>
      </c>
      <c r="C21" s="136">
        <v>0</v>
      </c>
      <c r="D21" s="90" t="s">
        <v>66</v>
      </c>
      <c r="E21" s="136">
        <v>0</v>
      </c>
      <c r="F21" s="136">
        <v>0</v>
      </c>
    </row>
    <row r="22" spans="1:6" x14ac:dyDescent="0.25">
      <c r="A22" s="86" t="s">
        <v>16</v>
      </c>
      <c r="B22" s="136">
        <v>400000</v>
      </c>
      <c r="C22" s="136">
        <v>141006.5</v>
      </c>
      <c r="D22" s="90" t="s">
        <v>67</v>
      </c>
      <c r="E22" s="136">
        <v>0</v>
      </c>
      <c r="F22" s="136">
        <v>0</v>
      </c>
    </row>
    <row r="23" spans="1:6" x14ac:dyDescent="0.25">
      <c r="A23" s="86" t="s">
        <v>17</v>
      </c>
      <c r="B23" s="136">
        <v>0</v>
      </c>
      <c r="C23" s="136">
        <v>0</v>
      </c>
      <c r="D23" s="89" t="s">
        <v>68</v>
      </c>
      <c r="E23" s="135">
        <f>E24+E25</f>
        <v>33872000</v>
      </c>
      <c r="F23" s="135">
        <v>0</v>
      </c>
    </row>
    <row r="24" spans="1:6" x14ac:dyDescent="0.25">
      <c r="A24" s="86" t="s">
        <v>18</v>
      </c>
      <c r="B24" s="136">
        <v>89233303.909999996</v>
      </c>
      <c r="C24" s="136">
        <v>2194115.6</v>
      </c>
      <c r="D24" s="90" t="s">
        <v>69</v>
      </c>
      <c r="E24" s="136">
        <v>33872000</v>
      </c>
      <c r="F24" s="136">
        <v>0</v>
      </c>
    </row>
    <row r="25" spans="1:6" x14ac:dyDescent="0.25">
      <c r="A25" s="84" t="s">
        <v>19</v>
      </c>
      <c r="B25" s="135">
        <f>SUM(B26:B30)</f>
        <v>13015731.129999999</v>
      </c>
      <c r="C25" s="135">
        <f>SUM(C26:C30)</f>
        <v>15734990.02</v>
      </c>
      <c r="D25" s="90" t="s">
        <v>70</v>
      </c>
      <c r="E25" s="136">
        <v>0</v>
      </c>
      <c r="F25" s="136">
        <v>0</v>
      </c>
    </row>
    <row r="26" spans="1:6" x14ac:dyDescent="0.25">
      <c r="A26" s="86" t="s">
        <v>20</v>
      </c>
      <c r="B26" s="136">
        <v>2020749.96</v>
      </c>
      <c r="C26" s="136">
        <v>2074136.01</v>
      </c>
      <c r="D26" s="89" t="s">
        <v>71</v>
      </c>
      <c r="E26" s="136">
        <v>0</v>
      </c>
      <c r="F26" s="136">
        <v>0</v>
      </c>
    </row>
    <row r="27" spans="1:6" x14ac:dyDescent="0.25">
      <c r="A27" s="86" t="s">
        <v>21</v>
      </c>
      <c r="B27" s="136">
        <v>0</v>
      </c>
      <c r="C27" s="136">
        <v>0</v>
      </c>
      <c r="D27" s="89" t="s">
        <v>72</v>
      </c>
      <c r="E27" s="135">
        <f>SUM(E28:E30)</f>
        <v>0</v>
      </c>
      <c r="F27" s="135">
        <f>SUM(F28:F30)</f>
        <v>32000000</v>
      </c>
    </row>
    <row r="28" spans="1:6" x14ac:dyDescent="0.25">
      <c r="A28" s="86" t="s">
        <v>22</v>
      </c>
      <c r="B28" s="136">
        <v>0</v>
      </c>
      <c r="C28" s="136">
        <v>0</v>
      </c>
      <c r="D28" s="90" t="s">
        <v>73</v>
      </c>
      <c r="E28" s="136">
        <v>0</v>
      </c>
      <c r="F28" s="136">
        <v>0</v>
      </c>
    </row>
    <row r="29" spans="1:6" x14ac:dyDescent="0.25">
      <c r="A29" s="86" t="s">
        <v>23</v>
      </c>
      <c r="B29" s="136">
        <v>10994981.17</v>
      </c>
      <c r="C29" s="136">
        <v>13660854.01</v>
      </c>
      <c r="D29" s="90" t="s">
        <v>74</v>
      </c>
      <c r="E29" s="136">
        <v>0</v>
      </c>
      <c r="F29" s="136">
        <v>0</v>
      </c>
    </row>
    <row r="30" spans="1:6" x14ac:dyDescent="0.25">
      <c r="A30" s="86" t="s">
        <v>24</v>
      </c>
      <c r="B30" s="136">
        <v>0</v>
      </c>
      <c r="C30" s="136">
        <v>0</v>
      </c>
      <c r="D30" s="90" t="s">
        <v>75</v>
      </c>
      <c r="E30" s="136">
        <v>0</v>
      </c>
      <c r="F30" s="136">
        <v>32000000</v>
      </c>
    </row>
    <row r="31" spans="1:6" x14ac:dyDescent="0.25">
      <c r="A31" s="84" t="s">
        <v>25</v>
      </c>
      <c r="B31" s="135">
        <f>SUM(B32:B36)</f>
        <v>0</v>
      </c>
      <c r="C31" s="135">
        <f>SUM(C32:C36)</f>
        <v>0</v>
      </c>
      <c r="D31" s="89" t="s">
        <v>76</v>
      </c>
      <c r="E31" s="135">
        <f>SUM(E32:E37)</f>
        <v>0</v>
      </c>
      <c r="F31" s="135">
        <f>SUM(F32:F37)</f>
        <v>0</v>
      </c>
    </row>
    <row r="32" spans="1:6" x14ac:dyDescent="0.25">
      <c r="A32" s="86" t="s">
        <v>26</v>
      </c>
      <c r="B32" s="136">
        <v>0</v>
      </c>
      <c r="C32" s="136">
        <v>0</v>
      </c>
      <c r="D32" s="90" t="s">
        <v>77</v>
      </c>
      <c r="E32" s="136">
        <v>0</v>
      </c>
      <c r="F32" s="136">
        <v>0</v>
      </c>
    </row>
    <row r="33" spans="1:6" x14ac:dyDescent="0.25">
      <c r="A33" s="86" t="s">
        <v>27</v>
      </c>
      <c r="B33" s="136">
        <v>0</v>
      </c>
      <c r="C33" s="136">
        <v>0</v>
      </c>
      <c r="D33" s="90" t="s">
        <v>78</v>
      </c>
      <c r="E33" s="136">
        <v>0</v>
      </c>
      <c r="F33" s="136">
        <v>0</v>
      </c>
    </row>
    <row r="34" spans="1:6" x14ac:dyDescent="0.25">
      <c r="A34" s="86" t="s">
        <v>28</v>
      </c>
      <c r="B34" s="136">
        <v>0</v>
      </c>
      <c r="C34" s="136">
        <v>0</v>
      </c>
      <c r="D34" s="90" t="s">
        <v>79</v>
      </c>
      <c r="E34" s="136">
        <v>0</v>
      </c>
      <c r="F34" s="136">
        <v>0</v>
      </c>
    </row>
    <row r="35" spans="1:6" x14ac:dyDescent="0.25">
      <c r="A35" s="86" t="s">
        <v>29</v>
      </c>
      <c r="B35" s="136">
        <v>0</v>
      </c>
      <c r="C35" s="136">
        <v>0</v>
      </c>
      <c r="D35" s="90" t="s">
        <v>80</v>
      </c>
      <c r="E35" s="136">
        <v>0</v>
      </c>
      <c r="F35" s="136">
        <v>0</v>
      </c>
    </row>
    <row r="36" spans="1:6" x14ac:dyDescent="0.25">
      <c r="A36" s="86" t="s">
        <v>30</v>
      </c>
      <c r="B36" s="136">
        <v>0</v>
      </c>
      <c r="C36" s="136">
        <v>0</v>
      </c>
      <c r="D36" s="90" t="s">
        <v>81</v>
      </c>
      <c r="E36" s="136">
        <v>0</v>
      </c>
      <c r="F36" s="136">
        <v>0</v>
      </c>
    </row>
    <row r="37" spans="1:6" x14ac:dyDescent="0.25">
      <c r="A37" s="84" t="s">
        <v>31</v>
      </c>
      <c r="B37" s="136">
        <v>0</v>
      </c>
      <c r="C37" s="136">
        <v>0</v>
      </c>
      <c r="D37" s="90" t="s">
        <v>82</v>
      </c>
      <c r="E37" s="136">
        <v>0</v>
      </c>
      <c r="F37" s="136">
        <v>0</v>
      </c>
    </row>
    <row r="38" spans="1:6" x14ac:dyDescent="0.25">
      <c r="A38" s="84" t="s">
        <v>119</v>
      </c>
      <c r="B38" s="135">
        <f>SUM(B39:B40)</f>
        <v>0</v>
      </c>
      <c r="C38" s="135">
        <f>SUM(C39:C40)</f>
        <v>0</v>
      </c>
      <c r="D38" s="89" t="s">
        <v>83</v>
      </c>
      <c r="E38" s="135">
        <f>SUM(E39:E41)</f>
        <v>0</v>
      </c>
      <c r="F38" s="135">
        <f>SUM(F39:F41)</f>
        <v>0</v>
      </c>
    </row>
    <row r="39" spans="1:6" x14ac:dyDescent="0.25">
      <c r="A39" s="86" t="s">
        <v>32</v>
      </c>
      <c r="B39" s="136">
        <v>0</v>
      </c>
      <c r="C39" s="136">
        <v>0</v>
      </c>
      <c r="D39" s="90" t="s">
        <v>84</v>
      </c>
      <c r="E39" s="136">
        <v>0</v>
      </c>
      <c r="F39" s="136">
        <v>0</v>
      </c>
    </row>
    <row r="40" spans="1:6" x14ac:dyDescent="0.25">
      <c r="A40" s="86" t="s">
        <v>33</v>
      </c>
      <c r="B40" s="136">
        <v>0</v>
      </c>
      <c r="C40" s="136">
        <v>0</v>
      </c>
      <c r="D40" s="90" t="s">
        <v>85</v>
      </c>
      <c r="E40" s="136">
        <v>0</v>
      </c>
      <c r="F40" s="136">
        <v>0</v>
      </c>
    </row>
    <row r="41" spans="1:6" x14ac:dyDescent="0.25">
      <c r="A41" s="84" t="s">
        <v>34</v>
      </c>
      <c r="B41" s="135">
        <f>SUM(B42:B45)</f>
        <v>492797.83</v>
      </c>
      <c r="C41" s="135">
        <f>SUM(C42:C45)</f>
        <v>472797.83</v>
      </c>
      <c r="D41" s="90" t="s">
        <v>86</v>
      </c>
      <c r="E41" s="136">
        <v>0</v>
      </c>
      <c r="F41" s="136">
        <v>0</v>
      </c>
    </row>
    <row r="42" spans="1:6" x14ac:dyDescent="0.25">
      <c r="A42" s="86" t="s">
        <v>35</v>
      </c>
      <c r="B42" s="136">
        <v>0</v>
      </c>
      <c r="C42" s="136">
        <v>0</v>
      </c>
      <c r="D42" s="89" t="s">
        <v>87</v>
      </c>
      <c r="E42" s="135">
        <f>SUM(E43:E45)</f>
        <v>1887397.79</v>
      </c>
      <c r="F42" s="135">
        <f>SUM(F43:F45)</f>
        <v>0</v>
      </c>
    </row>
    <row r="43" spans="1:6" x14ac:dyDescent="0.25">
      <c r="A43" s="86" t="s">
        <v>36</v>
      </c>
      <c r="B43" s="136">
        <v>492797.83</v>
      </c>
      <c r="C43" s="136">
        <v>472797.83</v>
      </c>
      <c r="D43" s="90" t="s">
        <v>88</v>
      </c>
      <c r="E43" s="136">
        <v>1887397.79</v>
      </c>
      <c r="F43" s="136">
        <v>0</v>
      </c>
    </row>
    <row r="44" spans="1:6" x14ac:dyDescent="0.25">
      <c r="A44" s="86" t="s">
        <v>37</v>
      </c>
      <c r="B44" s="136">
        <v>0</v>
      </c>
      <c r="C44" s="136">
        <v>0</v>
      </c>
      <c r="D44" s="90" t="s">
        <v>89</v>
      </c>
      <c r="E44" s="136">
        <v>0</v>
      </c>
      <c r="F44" s="136">
        <v>0</v>
      </c>
    </row>
    <row r="45" spans="1:6" x14ac:dyDescent="0.25">
      <c r="A45" s="86" t="s">
        <v>38</v>
      </c>
      <c r="B45" s="136">
        <v>0</v>
      </c>
      <c r="C45" s="136">
        <v>0</v>
      </c>
      <c r="D45" s="90" t="s">
        <v>90</v>
      </c>
      <c r="E45" s="136">
        <v>0</v>
      </c>
      <c r="F45" s="136">
        <v>0</v>
      </c>
    </row>
    <row r="46" spans="1:6" x14ac:dyDescent="0.25">
      <c r="A46" s="52"/>
      <c r="B46" s="52"/>
      <c r="C46" s="52"/>
      <c r="D46" s="52"/>
      <c r="E46" s="52"/>
      <c r="F46" s="52"/>
    </row>
    <row r="47" spans="1:6" x14ac:dyDescent="0.25">
      <c r="A47" s="53" t="s">
        <v>39</v>
      </c>
      <c r="B47" s="135">
        <f>B9+B17+B25+B31+B38+B41</f>
        <v>143848482.49000001</v>
      </c>
      <c r="C47" s="135">
        <f>C9+C17+C25+C31+C38+C41</f>
        <v>39419631.859999999</v>
      </c>
      <c r="D47" s="88" t="s">
        <v>91</v>
      </c>
      <c r="E47" s="135">
        <f>E9+E19+E23+E26+E27+E31+E38+E42</f>
        <v>83397376.340000004</v>
      </c>
      <c r="F47" s="135">
        <f>F9+F19+F23+F26+F27+F31+F38+F42</f>
        <v>107814407.02000001</v>
      </c>
    </row>
    <row r="48" spans="1:6" x14ac:dyDescent="0.25">
      <c r="A48" s="52"/>
      <c r="B48" s="52"/>
      <c r="C48" s="52"/>
      <c r="D48" s="52"/>
      <c r="E48" s="52"/>
      <c r="F48" s="52"/>
    </row>
    <row r="49" spans="1:6" x14ac:dyDescent="0.25">
      <c r="A49" s="37" t="s">
        <v>40</v>
      </c>
      <c r="B49" s="52"/>
      <c r="C49" s="52"/>
      <c r="D49" s="88" t="s">
        <v>92</v>
      </c>
      <c r="E49" s="52"/>
      <c r="F49" s="52"/>
    </row>
    <row r="50" spans="1:6" x14ac:dyDescent="0.25">
      <c r="A50" s="84" t="s">
        <v>41</v>
      </c>
      <c r="B50" s="136">
        <v>0</v>
      </c>
      <c r="C50" s="136">
        <v>0</v>
      </c>
      <c r="D50" s="89" t="s">
        <v>93</v>
      </c>
      <c r="E50" s="136">
        <v>0</v>
      </c>
      <c r="F50" s="136">
        <v>0</v>
      </c>
    </row>
    <row r="51" spans="1:6" x14ac:dyDescent="0.25">
      <c r="A51" s="84" t="s">
        <v>42</v>
      </c>
      <c r="B51" s="136">
        <v>0</v>
      </c>
      <c r="C51" s="136">
        <v>0</v>
      </c>
      <c r="D51" s="89" t="s">
        <v>94</v>
      </c>
      <c r="E51" s="136">
        <v>0</v>
      </c>
      <c r="F51" s="136">
        <v>0</v>
      </c>
    </row>
    <row r="52" spans="1:6" x14ac:dyDescent="0.25">
      <c r="A52" s="84" t="s">
        <v>43</v>
      </c>
      <c r="B52" s="136">
        <v>816326619.59000003</v>
      </c>
      <c r="C52" s="136">
        <v>816326619.59000003</v>
      </c>
      <c r="D52" s="89" t="s">
        <v>95</v>
      </c>
      <c r="E52" s="136">
        <v>6864160</v>
      </c>
      <c r="F52" s="136">
        <v>10608160</v>
      </c>
    </row>
    <row r="53" spans="1:6" x14ac:dyDescent="0.25">
      <c r="A53" s="84" t="s">
        <v>44</v>
      </c>
      <c r="B53" s="136">
        <v>115305178.53</v>
      </c>
      <c r="C53" s="136">
        <v>115305178.53</v>
      </c>
      <c r="D53" s="89" t="s">
        <v>96</v>
      </c>
      <c r="E53" s="136">
        <v>0</v>
      </c>
      <c r="F53" s="136">
        <v>0</v>
      </c>
    </row>
    <row r="54" spans="1:6" x14ac:dyDescent="0.25">
      <c r="A54" s="84" t="s">
        <v>45</v>
      </c>
      <c r="B54" s="136">
        <v>7035968.1799999997</v>
      </c>
      <c r="C54" s="136">
        <v>7035968.1799999997</v>
      </c>
      <c r="D54" s="89" t="s">
        <v>97</v>
      </c>
      <c r="E54" s="136">
        <v>0</v>
      </c>
      <c r="F54" s="136">
        <v>0</v>
      </c>
    </row>
    <row r="55" spans="1:6" x14ac:dyDescent="0.25">
      <c r="A55" s="84" t="s">
        <v>46</v>
      </c>
      <c r="B55" s="136">
        <v>-45918437.039999999</v>
      </c>
      <c r="C55" s="136">
        <v>-45918437.039999999</v>
      </c>
      <c r="D55" s="36" t="s">
        <v>98</v>
      </c>
      <c r="E55" s="136">
        <v>0</v>
      </c>
      <c r="F55" s="136">
        <v>0</v>
      </c>
    </row>
    <row r="56" spans="1:6" x14ac:dyDescent="0.25">
      <c r="A56" s="84" t="s">
        <v>47</v>
      </c>
      <c r="B56" s="136">
        <v>1449989.26</v>
      </c>
      <c r="C56" s="136">
        <v>1449989.26</v>
      </c>
      <c r="D56" s="52"/>
      <c r="E56" s="52"/>
      <c r="F56" s="52"/>
    </row>
    <row r="57" spans="1:6" x14ac:dyDescent="0.25">
      <c r="A57" s="84" t="s">
        <v>48</v>
      </c>
      <c r="B57" s="136">
        <v>0</v>
      </c>
      <c r="C57" s="136">
        <v>0</v>
      </c>
      <c r="D57" s="88" t="s">
        <v>99</v>
      </c>
      <c r="E57" s="135">
        <f>SUM(E50:E55)</f>
        <v>6864160</v>
      </c>
      <c r="F57" s="135">
        <f>SUM(F50:F55)</f>
        <v>10608160</v>
      </c>
    </row>
    <row r="58" spans="1:6" x14ac:dyDescent="0.25">
      <c r="A58" s="84" t="s">
        <v>49</v>
      </c>
      <c r="B58" s="136">
        <v>0</v>
      </c>
      <c r="C58" s="136">
        <v>0</v>
      </c>
      <c r="D58" s="52"/>
      <c r="E58" s="52"/>
      <c r="F58" s="52"/>
    </row>
    <row r="59" spans="1:6" x14ac:dyDescent="0.25">
      <c r="A59" s="52"/>
      <c r="B59" s="52"/>
      <c r="C59" s="52"/>
      <c r="D59" s="88" t="s">
        <v>100</v>
      </c>
      <c r="E59" s="135">
        <f>E47+E57</f>
        <v>90261536.340000004</v>
      </c>
      <c r="F59" s="135">
        <f>F47+F57</f>
        <v>118422567.02000001</v>
      </c>
    </row>
    <row r="60" spans="1:6" x14ac:dyDescent="0.25">
      <c r="A60" s="53" t="s">
        <v>50</v>
      </c>
      <c r="B60" s="135">
        <f>SUM(B50:B58)</f>
        <v>894199318.51999998</v>
      </c>
      <c r="C60" s="135">
        <f>SUM(C50:C58)</f>
        <v>894199318.51999998</v>
      </c>
      <c r="D60" s="52"/>
      <c r="E60" s="52"/>
      <c r="F60" s="52"/>
    </row>
    <row r="61" spans="1:6" x14ac:dyDescent="0.25">
      <c r="A61" s="52"/>
      <c r="B61" s="52"/>
      <c r="C61" s="52"/>
      <c r="D61" s="38" t="s">
        <v>101</v>
      </c>
      <c r="E61" s="82"/>
      <c r="F61" s="82"/>
    </row>
    <row r="62" spans="1:6" x14ac:dyDescent="0.25">
      <c r="A62" s="53" t="s">
        <v>51</v>
      </c>
      <c r="B62" s="135">
        <f>SUM(B47+B60)</f>
        <v>1038047801.01</v>
      </c>
      <c r="C62" s="135">
        <f>SUM(C47+C60)</f>
        <v>933618950.38</v>
      </c>
      <c r="D62" s="52"/>
      <c r="E62" s="52"/>
      <c r="F62" s="52"/>
    </row>
    <row r="63" spans="1:6" x14ac:dyDescent="0.25">
      <c r="A63" s="52"/>
      <c r="B63" s="52"/>
      <c r="C63" s="52"/>
      <c r="D63" s="91" t="s">
        <v>102</v>
      </c>
      <c r="E63" s="135">
        <f>SUM(E64:E66)</f>
        <v>787622658.74000001</v>
      </c>
      <c r="F63" s="135">
        <f>SUM(F64:F66)</f>
        <v>787622658.74000001</v>
      </c>
    </row>
    <row r="64" spans="1:6" x14ac:dyDescent="0.25">
      <c r="A64" s="52"/>
      <c r="B64" s="52"/>
      <c r="C64" s="52"/>
      <c r="D64" s="92" t="s">
        <v>103</v>
      </c>
      <c r="E64" s="136">
        <v>786004034.75</v>
      </c>
      <c r="F64" s="136">
        <v>786004034.75</v>
      </c>
    </row>
    <row r="65" spans="1:6" x14ac:dyDescent="0.25">
      <c r="A65" s="52"/>
      <c r="B65" s="52"/>
      <c r="C65" s="52"/>
      <c r="D65" s="39" t="s">
        <v>104</v>
      </c>
      <c r="E65" s="136">
        <v>1618623.99</v>
      </c>
      <c r="F65" s="136">
        <v>1618623.99</v>
      </c>
    </row>
    <row r="66" spans="1:6" x14ac:dyDescent="0.25">
      <c r="A66" s="52"/>
      <c r="B66" s="52"/>
      <c r="C66" s="52"/>
      <c r="D66" s="92" t="s">
        <v>105</v>
      </c>
      <c r="E66" s="136">
        <v>0</v>
      </c>
      <c r="F66" s="136">
        <v>0</v>
      </c>
    </row>
    <row r="67" spans="1:6" x14ac:dyDescent="0.25">
      <c r="A67" s="52"/>
      <c r="B67" s="52"/>
      <c r="C67" s="52"/>
      <c r="D67" s="52"/>
      <c r="E67" s="52"/>
      <c r="F67" s="52"/>
    </row>
    <row r="68" spans="1:6" x14ac:dyDescent="0.25">
      <c r="A68" s="52"/>
      <c r="B68" s="52"/>
      <c r="C68" s="52"/>
      <c r="D68" s="91" t="s">
        <v>106</v>
      </c>
      <c r="E68" s="135">
        <f>SUM(E69:E73)</f>
        <v>160163605.93000001</v>
      </c>
      <c r="F68" s="135">
        <f>SUM(F69:F73)</f>
        <v>27573724.620000001</v>
      </c>
    </row>
    <row r="69" spans="1:6" x14ac:dyDescent="0.25">
      <c r="A69" s="12"/>
      <c r="B69" s="52"/>
      <c r="C69" s="52"/>
      <c r="D69" s="92" t="s">
        <v>107</v>
      </c>
      <c r="E69" s="136">
        <v>141430159.06999999</v>
      </c>
      <c r="F69" s="136">
        <v>21393024.59</v>
      </c>
    </row>
    <row r="70" spans="1:6" x14ac:dyDescent="0.25">
      <c r="A70" s="12"/>
      <c r="B70" s="52"/>
      <c r="C70" s="52"/>
      <c r="D70" s="92" t="s">
        <v>108</v>
      </c>
      <c r="E70" s="136">
        <v>18733446.859999999</v>
      </c>
      <c r="F70" s="136">
        <v>6180700.0300000003</v>
      </c>
    </row>
    <row r="71" spans="1:6" x14ac:dyDescent="0.25">
      <c r="A71" s="12"/>
      <c r="B71" s="52"/>
      <c r="C71" s="52"/>
      <c r="D71" s="92" t="s">
        <v>109</v>
      </c>
      <c r="E71" s="136">
        <v>0</v>
      </c>
      <c r="F71" s="136">
        <v>0</v>
      </c>
    </row>
    <row r="72" spans="1:6" x14ac:dyDescent="0.25">
      <c r="A72" s="12"/>
      <c r="B72" s="52"/>
      <c r="C72" s="52"/>
      <c r="D72" s="92" t="s">
        <v>110</v>
      </c>
      <c r="E72" s="136">
        <v>0</v>
      </c>
      <c r="F72" s="136">
        <v>0</v>
      </c>
    </row>
    <row r="73" spans="1:6" x14ac:dyDescent="0.25">
      <c r="A73" s="12"/>
      <c r="B73" s="52"/>
      <c r="C73" s="52"/>
      <c r="D73" s="92" t="s">
        <v>111</v>
      </c>
      <c r="E73" s="136">
        <v>0</v>
      </c>
      <c r="F73" s="136">
        <v>0</v>
      </c>
    </row>
    <row r="74" spans="1:6" x14ac:dyDescent="0.25">
      <c r="A74" s="12"/>
      <c r="B74" s="52"/>
      <c r="C74" s="52"/>
      <c r="D74" s="52"/>
      <c r="E74" s="52"/>
      <c r="F74" s="52"/>
    </row>
    <row r="75" spans="1:6" x14ac:dyDescent="0.25">
      <c r="A75" s="12"/>
      <c r="B75" s="52"/>
      <c r="C75" s="52"/>
      <c r="D75" s="91" t="s">
        <v>112</v>
      </c>
      <c r="E75" s="135">
        <f>E76+E77</f>
        <v>0</v>
      </c>
      <c r="F75" s="135">
        <f>F76+F77</f>
        <v>0</v>
      </c>
    </row>
    <row r="76" spans="1:6" x14ac:dyDescent="0.25">
      <c r="A76" s="12"/>
      <c r="B76" s="52"/>
      <c r="C76" s="52"/>
      <c r="D76" s="89" t="s">
        <v>113</v>
      </c>
      <c r="E76" s="136">
        <v>0</v>
      </c>
      <c r="F76" s="136">
        <v>0</v>
      </c>
    </row>
    <row r="77" spans="1:6" x14ac:dyDescent="0.25">
      <c r="A77" s="12"/>
      <c r="B77" s="52"/>
      <c r="C77" s="52"/>
      <c r="D77" s="89" t="s">
        <v>114</v>
      </c>
      <c r="E77" s="136">
        <v>0</v>
      </c>
      <c r="F77" s="136">
        <v>0</v>
      </c>
    </row>
    <row r="78" spans="1:6" x14ac:dyDescent="0.25">
      <c r="A78" s="12"/>
      <c r="B78" s="52"/>
      <c r="C78" s="52"/>
      <c r="D78" s="52"/>
      <c r="E78" s="52"/>
      <c r="F78" s="52"/>
    </row>
    <row r="79" spans="1:6" x14ac:dyDescent="0.25">
      <c r="A79" s="12"/>
      <c r="B79" s="52"/>
      <c r="C79" s="52"/>
      <c r="D79" s="88" t="s">
        <v>115</v>
      </c>
      <c r="E79" s="135">
        <f>E63+E68+E75</f>
        <v>947786264.67000008</v>
      </c>
      <c r="F79" s="135">
        <f>F63+F68+F75</f>
        <v>815196383.36000001</v>
      </c>
    </row>
    <row r="80" spans="1:6" x14ac:dyDescent="0.25">
      <c r="A80" s="12"/>
      <c r="B80" s="52"/>
      <c r="C80" s="52"/>
      <c r="D80" s="52"/>
      <c r="E80" s="52"/>
      <c r="F80" s="52"/>
    </row>
    <row r="81" spans="1:6" x14ac:dyDescent="0.25">
      <c r="A81" s="12"/>
      <c r="B81" s="52"/>
      <c r="C81" s="52"/>
      <c r="D81" s="88" t="s">
        <v>116</v>
      </c>
      <c r="E81" s="135">
        <f>E59+E79</f>
        <v>1038047801.0100001</v>
      </c>
      <c r="F81" s="135">
        <f>F59+F79</f>
        <v>933618950.38</v>
      </c>
    </row>
    <row r="82" spans="1:6" x14ac:dyDescent="0.25">
      <c r="A82" s="6"/>
      <c r="B82" s="63"/>
      <c r="C82" s="63"/>
      <c r="D82" s="63"/>
      <c r="E82" s="63"/>
      <c r="F82" s="63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39268418.060000002</v>
      </c>
      <c r="Q4" s="18">
        <f>'Formato 1'!C9</f>
        <v>20432998.399999999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30727787.18</v>
      </c>
      <c r="Q6" s="18">
        <f>'Formato 1'!C11</f>
        <v>14250768.01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8470000</v>
      </c>
      <c r="Q8" s="18">
        <f>'Formato 1'!C13</f>
        <v>465.82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70630.880000000005</v>
      </c>
      <c r="Q9" s="18">
        <f>'Formato 1'!C14</f>
        <v>6181764.5700000003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91071535.469999999</v>
      </c>
      <c r="Q12" s="18">
        <f>'Formato 1'!C17</f>
        <v>2778845.6100000003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400000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147487.26</v>
      </c>
      <c r="Q15" s="18">
        <f>'Formato 1'!C20</f>
        <v>43723.51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1290744.3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400000</v>
      </c>
      <c r="Q17" s="18">
        <f>'Formato 1'!C22</f>
        <v>141006.5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89233303.909999996</v>
      </c>
      <c r="Q19" s="18">
        <f>'Formato 1'!C24</f>
        <v>2194115.6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13015731.129999999</v>
      </c>
      <c r="Q20" s="18">
        <f>'Formato 1'!C25</f>
        <v>15734990.02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2020749.96</v>
      </c>
      <c r="Q21" s="18">
        <f>'Formato 1'!C26</f>
        <v>2074136.01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10994981.17</v>
      </c>
      <c r="Q24" s="18">
        <f>'Formato 1'!C29</f>
        <v>13660854.01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492797.83</v>
      </c>
      <c r="Q37" s="18">
        <f>'Formato 1'!C41</f>
        <v>472797.83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492797.83</v>
      </c>
      <c r="Q39" s="18">
        <f>'Formato 1'!C43</f>
        <v>472797.83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143848482.49000001</v>
      </c>
      <c r="Q42" s="18">
        <f>'Formato 1'!C47</f>
        <v>39419631.859999999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816326619.59000003</v>
      </c>
      <c r="Q46">
        <f>'Formato 1'!C52</f>
        <v>816326619.59000003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115305178.53</v>
      </c>
      <c r="Q47">
        <f>'Formato 1'!C53</f>
        <v>115305178.53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7035968.1799999997</v>
      </c>
      <c r="Q48">
        <f>'Formato 1'!C54</f>
        <v>7035968.1799999997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-45918437.039999999</v>
      </c>
      <c r="Q49">
        <f>'Formato 1'!C55</f>
        <v>-45918437.039999999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1449989.26</v>
      </c>
      <c r="Q50">
        <f>'Formato 1'!C56</f>
        <v>1449989.26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894199318.51999998</v>
      </c>
      <c r="Q53">
        <f>'Formato 1'!C60</f>
        <v>894199318.51999998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1038047801.01</v>
      </c>
      <c r="Q54">
        <f>'Formato 1'!C62</f>
        <v>933618950.38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47637978.549999997</v>
      </c>
      <c r="Q57">
        <f>'Formato 1'!F9</f>
        <v>75814407.020000011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7829449.0300000003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39624454.82</v>
      </c>
      <c r="Q59">
        <f>'Formato 1'!F11</f>
        <v>51774714.5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807863.64</v>
      </c>
      <c r="Q60">
        <f>'Formato 1'!F12</f>
        <v>8152699.6900000004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202299.68</v>
      </c>
      <c r="Q62">
        <f>'Formato 1'!F14</f>
        <v>2722136.84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1751509.83</v>
      </c>
      <c r="Q64">
        <f>'Formato 1'!F16</f>
        <v>457703.92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5251850.58</v>
      </c>
      <c r="Q66">
        <f>'Formato 1'!F18</f>
        <v>4877703.04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33872000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33872000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32000000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32000000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1887397.79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1887397.79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83397376.340000004</v>
      </c>
      <c r="Q95">
        <f>'Formato 1'!F47</f>
        <v>107814407.02000001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6864160</v>
      </c>
      <c r="Q99">
        <f>'Formato 1'!F52</f>
        <v>10608160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6864160</v>
      </c>
      <c r="Q103">
        <f>'Formato 1'!F57</f>
        <v>10608160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90261536.340000004</v>
      </c>
      <c r="Q104">
        <f>'Formato 1'!F59</f>
        <v>118422567.02000001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787622658.74000001</v>
      </c>
      <c r="Q106">
        <f>'Formato 1'!F63</f>
        <v>787622658.74000001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786004034.75</v>
      </c>
      <c r="Q107">
        <f>'Formato 1'!F64</f>
        <v>786004034.75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1618623.99</v>
      </c>
      <c r="Q108">
        <f>'Formato 1'!F65</f>
        <v>1618623.99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160163605.93000001</v>
      </c>
      <c r="Q110">
        <f>'Formato 1'!F68</f>
        <v>27573724.620000001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141430159.06999999</v>
      </c>
      <c r="Q111">
        <f>'Formato 1'!F69</f>
        <v>21393024.59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18733446.859999999</v>
      </c>
      <c r="Q112">
        <f>'Formato 1'!F70</f>
        <v>6180700.0300000003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947786264.67000008</v>
      </c>
      <c r="Q119">
        <f>'Formato 1'!F79</f>
        <v>815196383.36000001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1038047801.0100001</v>
      </c>
      <c r="Q120">
        <f>'Formato 1'!F81</f>
        <v>933618950.38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C13" sqref="C1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9" customFormat="1" ht="37.5" customHeight="1" x14ac:dyDescent="0.25">
      <c r="A1" s="156" t="s">
        <v>536</v>
      </c>
      <c r="B1" s="156"/>
      <c r="C1" s="156"/>
      <c r="D1" s="156"/>
      <c r="E1" s="156"/>
      <c r="F1" s="156"/>
      <c r="G1" s="156"/>
      <c r="H1" s="156"/>
    </row>
    <row r="2" spans="1:9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3"/>
      <c r="H2" s="144"/>
    </row>
    <row r="3" spans="1:9" x14ac:dyDescent="0.25">
      <c r="A3" s="145" t="s">
        <v>120</v>
      </c>
      <c r="B3" s="146"/>
      <c r="C3" s="146"/>
      <c r="D3" s="146"/>
      <c r="E3" s="146"/>
      <c r="F3" s="146"/>
      <c r="G3" s="146"/>
      <c r="H3" s="147"/>
    </row>
    <row r="4" spans="1:9" ht="14.25" x14ac:dyDescent="0.45">
      <c r="A4" s="148" t="str">
        <f>PERIODO_INFORME</f>
        <v>Al 31 de diciembre de 2020 y al 30 de junio de 2021 (b)</v>
      </c>
      <c r="B4" s="149"/>
      <c r="C4" s="149"/>
      <c r="D4" s="149"/>
      <c r="E4" s="149"/>
      <c r="F4" s="149"/>
      <c r="G4" s="149"/>
      <c r="H4" s="150"/>
    </row>
    <row r="5" spans="1:9" ht="14.25" x14ac:dyDescent="0.45">
      <c r="A5" s="151" t="s">
        <v>118</v>
      </c>
      <c r="B5" s="152"/>
      <c r="C5" s="152"/>
      <c r="D5" s="152"/>
      <c r="E5" s="152"/>
      <c r="F5" s="152"/>
      <c r="G5" s="152"/>
      <c r="H5" s="153"/>
    </row>
    <row r="6" spans="1:9" ht="45" x14ac:dyDescent="0.25">
      <c r="A6" s="93" t="s">
        <v>121</v>
      </c>
      <c r="B6" s="94" t="str">
        <f>ULTIMO_SALDO</f>
        <v>Saldo al 31 de diciembre de 2020 (d)</v>
      </c>
      <c r="C6" s="93" t="s">
        <v>122</v>
      </c>
      <c r="D6" s="93" t="s">
        <v>123</v>
      </c>
      <c r="E6" s="93" t="s">
        <v>124</v>
      </c>
      <c r="F6" s="93" t="s">
        <v>138</v>
      </c>
      <c r="G6" s="93" t="s">
        <v>125</v>
      </c>
      <c r="H6" s="43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95" t="s">
        <v>127</v>
      </c>
      <c r="B8" s="135">
        <f>B9+B13</f>
        <v>10608160</v>
      </c>
      <c r="C8" s="135">
        <f t="shared" ref="C8:G8" si="0">C9+C13</f>
        <v>0</v>
      </c>
      <c r="D8" s="135">
        <f t="shared" si="0"/>
        <v>1872000</v>
      </c>
      <c r="E8" s="135">
        <f t="shared" si="0"/>
        <v>0</v>
      </c>
      <c r="F8" s="135">
        <f t="shared" si="0"/>
        <v>8736160</v>
      </c>
      <c r="G8" s="135">
        <f t="shared" si="0"/>
        <v>326180.25</v>
      </c>
      <c r="H8" s="135">
        <f t="shared" ref="H8" si="1">H9+H13</f>
        <v>6</v>
      </c>
    </row>
    <row r="9" spans="1:9" x14ac:dyDescent="0.25">
      <c r="A9" s="96" t="s">
        <v>128</v>
      </c>
      <c r="B9" s="135">
        <f>SUM(B10:B12)</f>
        <v>0</v>
      </c>
      <c r="C9" s="135">
        <f t="shared" ref="C9:G9" si="2">SUM(C10:C12)</f>
        <v>0</v>
      </c>
      <c r="D9" s="135">
        <f t="shared" si="2"/>
        <v>0</v>
      </c>
      <c r="E9" s="135">
        <f t="shared" si="2"/>
        <v>0</v>
      </c>
      <c r="F9" s="135">
        <f t="shared" si="2"/>
        <v>0</v>
      </c>
      <c r="G9" s="135">
        <f t="shared" si="2"/>
        <v>0</v>
      </c>
      <c r="H9" s="135">
        <f t="shared" ref="H9" si="3">SUM(H10:H12)</f>
        <v>3</v>
      </c>
    </row>
    <row r="10" spans="1:9" x14ac:dyDescent="0.25">
      <c r="A10" s="97" t="s">
        <v>129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1</v>
      </c>
    </row>
    <row r="11" spans="1:9" x14ac:dyDescent="0.25">
      <c r="A11" s="97" t="s">
        <v>130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1</v>
      </c>
    </row>
    <row r="12" spans="1:9" x14ac:dyDescent="0.25">
      <c r="A12" s="97" t="s">
        <v>131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1</v>
      </c>
    </row>
    <row r="13" spans="1:9" x14ac:dyDescent="0.25">
      <c r="A13" s="96" t="s">
        <v>132</v>
      </c>
      <c r="B13" s="135">
        <f>SUM(B14:B16)</f>
        <v>10608160</v>
      </c>
      <c r="C13" s="135">
        <f t="shared" ref="C13:G13" si="4">SUM(C14:C16)</f>
        <v>0</v>
      </c>
      <c r="D13" s="135">
        <f t="shared" si="4"/>
        <v>1872000</v>
      </c>
      <c r="E13" s="135">
        <f t="shared" si="4"/>
        <v>0</v>
      </c>
      <c r="F13" s="135">
        <f t="shared" si="4"/>
        <v>8736160</v>
      </c>
      <c r="G13" s="135">
        <f t="shared" si="4"/>
        <v>326180.25</v>
      </c>
      <c r="H13" s="135">
        <f t="shared" ref="H13" si="5">SUM(H14:H16)</f>
        <v>3</v>
      </c>
    </row>
    <row r="14" spans="1:9" x14ac:dyDescent="0.25">
      <c r="A14" s="97" t="s">
        <v>133</v>
      </c>
      <c r="B14" s="136">
        <v>10608160</v>
      </c>
      <c r="C14" s="136">
        <v>0</v>
      </c>
      <c r="D14" s="136">
        <f>936000*2</f>
        <v>1872000</v>
      </c>
      <c r="E14" s="136">
        <v>0</v>
      </c>
      <c r="F14" s="136">
        <f>+B14+C14-D14</f>
        <v>8736160</v>
      </c>
      <c r="G14" s="136">
        <v>326180.25</v>
      </c>
      <c r="H14" s="136">
        <v>1</v>
      </c>
    </row>
    <row r="15" spans="1:9" x14ac:dyDescent="0.25">
      <c r="A15" s="97" t="s">
        <v>134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1</v>
      </c>
    </row>
    <row r="16" spans="1:9" x14ac:dyDescent="0.25">
      <c r="A16" s="97" t="s">
        <v>135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1</v>
      </c>
    </row>
    <row r="17" spans="1:8" ht="14.25" x14ac:dyDescent="0.45">
      <c r="A17" s="52"/>
      <c r="B17" s="12"/>
      <c r="C17" s="12"/>
      <c r="D17" s="12"/>
      <c r="E17" s="12"/>
      <c r="F17" s="12"/>
      <c r="G17" s="12"/>
      <c r="H17" s="12"/>
    </row>
    <row r="18" spans="1:8" x14ac:dyDescent="0.25">
      <c r="A18" s="95" t="s">
        <v>136</v>
      </c>
      <c r="B18" s="135">
        <v>107814407.02</v>
      </c>
      <c r="C18" s="118"/>
      <c r="D18" s="118"/>
      <c r="E18" s="118"/>
      <c r="F18" s="135">
        <v>81525376.340000004</v>
      </c>
      <c r="G18" s="118"/>
      <c r="H18" s="118"/>
    </row>
    <row r="19" spans="1:8" ht="14.25" x14ac:dyDescent="0.45">
      <c r="A19" s="76"/>
      <c r="B19" s="5"/>
      <c r="C19" s="5"/>
      <c r="D19" s="5"/>
      <c r="E19" s="5"/>
      <c r="F19" s="5"/>
      <c r="G19" s="5"/>
      <c r="H19" s="5"/>
    </row>
    <row r="20" spans="1:8" x14ac:dyDescent="0.25">
      <c r="A20" s="95" t="s">
        <v>137</v>
      </c>
      <c r="B20" s="135">
        <f>B8+B18</f>
        <v>118422567.02</v>
      </c>
      <c r="C20" s="135">
        <f t="shared" ref="C20:H20" si="6">C8+C18</f>
        <v>0</v>
      </c>
      <c r="D20" s="135">
        <f t="shared" si="6"/>
        <v>1872000</v>
      </c>
      <c r="E20" s="135">
        <f t="shared" si="6"/>
        <v>0</v>
      </c>
      <c r="F20" s="135">
        <f t="shared" si="6"/>
        <v>90261536.340000004</v>
      </c>
      <c r="G20" s="135">
        <f t="shared" si="6"/>
        <v>326180.25</v>
      </c>
      <c r="H20" s="135">
        <f t="shared" si="6"/>
        <v>6</v>
      </c>
    </row>
    <row r="21" spans="1:8" ht="14.25" x14ac:dyDescent="0.45">
      <c r="A21" s="52"/>
      <c r="B21" s="52"/>
      <c r="C21" s="52"/>
      <c r="D21" s="52"/>
      <c r="E21" s="52"/>
      <c r="F21" s="52"/>
      <c r="G21" s="52"/>
      <c r="H21" s="52"/>
    </row>
    <row r="22" spans="1:8" ht="17.25" x14ac:dyDescent="0.25">
      <c r="A22" s="95" t="s">
        <v>3288</v>
      </c>
      <c r="B22" s="135">
        <f>SUM(B23:DEUDA_CONT_FIN_01)</f>
        <v>0</v>
      </c>
      <c r="C22" s="135">
        <f>SUM(C23:DEUDA_CONT_FIN_02)</f>
        <v>0</v>
      </c>
      <c r="D22" s="135">
        <f>SUM(D23:DEUDA_CONT_FIN_03)</f>
        <v>0</v>
      </c>
      <c r="E22" s="135">
        <f>SUM(E23:DEUDA_CONT_FIN_04)</f>
        <v>0</v>
      </c>
      <c r="F22" s="135">
        <f>SUM(F23:DEUDA_CONT_FIN_05)</f>
        <v>0</v>
      </c>
      <c r="G22" s="135">
        <f>SUM(G23:DEUDA_CONT_FIN_06)</f>
        <v>0</v>
      </c>
      <c r="H22" s="135">
        <f>SUM(H23:DEUDA_CONT_FIN_07)</f>
        <v>0</v>
      </c>
    </row>
    <row r="23" spans="1:8" s="23" customFormat="1" x14ac:dyDescent="0.25">
      <c r="A23" s="98" t="s">
        <v>434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</row>
    <row r="24" spans="1:8" s="23" customFormat="1" x14ac:dyDescent="0.25">
      <c r="A24" s="98" t="s">
        <v>435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</row>
    <row r="25" spans="1:8" s="23" customFormat="1" x14ac:dyDescent="0.25">
      <c r="A25" s="98" t="s">
        <v>436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14.25" x14ac:dyDescent="0.45">
      <c r="A26" s="68" t="s">
        <v>678</v>
      </c>
      <c r="B26" s="52"/>
      <c r="C26" s="52"/>
      <c r="D26" s="52"/>
      <c r="E26" s="52"/>
      <c r="F26" s="52"/>
      <c r="G26" s="52"/>
      <c r="H26" s="52"/>
    </row>
    <row r="27" spans="1:8" ht="17.25" x14ac:dyDescent="0.25">
      <c r="A27" s="95" t="s">
        <v>3289</v>
      </c>
      <c r="B27" s="135">
        <f>SUM(B28:VALOR_INS_BCC_FIN_01)</f>
        <v>0</v>
      </c>
      <c r="C27" s="135">
        <f>SUM(C28:VALOR_INS_BCC_FIN_02)</f>
        <v>0</v>
      </c>
      <c r="D27" s="135">
        <f>SUM(D28:VALOR_INS_BCC_FIN_03)</f>
        <v>0</v>
      </c>
      <c r="E27" s="135">
        <f>SUM(E28:VALOR_INS_BCC_FIN_04)</f>
        <v>0</v>
      </c>
      <c r="F27" s="135">
        <f>SUM(F28:VALOR_INS_BCC_FIN_05)</f>
        <v>0</v>
      </c>
      <c r="G27" s="135">
        <f>SUM(G28:VALOR_INS_BCC_FIN_06)</f>
        <v>0</v>
      </c>
      <c r="H27" s="135">
        <f>SUM(H28:VALOR_INS_BCC_FIN_07)</f>
        <v>0</v>
      </c>
    </row>
    <row r="28" spans="1:8" s="23" customFormat="1" x14ac:dyDescent="0.25">
      <c r="A28" s="98" t="s">
        <v>437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s="23" customFormat="1" x14ac:dyDescent="0.25">
      <c r="A29" s="98" t="s">
        <v>438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s="23" customFormat="1" x14ac:dyDescent="0.25">
      <c r="A30" s="98" t="s">
        <v>439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</row>
    <row r="31" spans="1:8" ht="14.25" x14ac:dyDescent="0.45">
      <c r="A31" s="99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79"/>
    </row>
    <row r="33" spans="1:8" ht="12" customHeight="1" x14ac:dyDescent="0.25">
      <c r="A33" s="155" t="s">
        <v>3292</v>
      </c>
      <c r="B33" s="155"/>
      <c r="C33" s="155"/>
      <c r="D33" s="155"/>
      <c r="E33" s="155"/>
      <c r="F33" s="155"/>
      <c r="G33" s="155"/>
      <c r="H33" s="155"/>
    </row>
    <row r="34" spans="1:8" ht="12" customHeight="1" x14ac:dyDescent="0.25">
      <c r="A34" s="155"/>
      <c r="B34" s="155"/>
      <c r="C34" s="155"/>
      <c r="D34" s="155"/>
      <c r="E34" s="155"/>
      <c r="F34" s="155"/>
      <c r="G34" s="155"/>
      <c r="H34" s="155"/>
    </row>
    <row r="35" spans="1:8" ht="12" customHeight="1" x14ac:dyDescent="0.25">
      <c r="A35" s="155"/>
      <c r="B35" s="155"/>
      <c r="C35" s="155"/>
      <c r="D35" s="155"/>
      <c r="E35" s="155"/>
      <c r="F35" s="155"/>
      <c r="G35" s="155"/>
      <c r="H35" s="155"/>
    </row>
    <row r="36" spans="1:8" ht="12" customHeight="1" x14ac:dyDescent="0.25">
      <c r="A36" s="155"/>
      <c r="B36" s="155"/>
      <c r="C36" s="155"/>
      <c r="D36" s="155"/>
      <c r="E36" s="155"/>
      <c r="F36" s="155"/>
      <c r="G36" s="155"/>
      <c r="H36" s="155"/>
    </row>
    <row r="37" spans="1:8" ht="12" customHeight="1" x14ac:dyDescent="0.25">
      <c r="A37" s="155"/>
      <c r="B37" s="155"/>
      <c r="C37" s="155"/>
      <c r="D37" s="155"/>
      <c r="E37" s="155"/>
      <c r="F37" s="155"/>
      <c r="G37" s="155"/>
      <c r="H37" s="155"/>
    </row>
    <row r="38" spans="1:8" ht="14.25" x14ac:dyDescent="0.45">
      <c r="A38" s="79"/>
    </row>
    <row r="39" spans="1:8" ht="30" x14ac:dyDescent="0.25">
      <c r="A39" s="93" t="s">
        <v>139</v>
      </c>
      <c r="B39" s="93" t="s">
        <v>142</v>
      </c>
      <c r="C39" s="93" t="s">
        <v>143</v>
      </c>
      <c r="D39" s="93" t="s">
        <v>144</v>
      </c>
      <c r="E39" s="93" t="s">
        <v>140</v>
      </c>
      <c r="F39" s="43" t="s">
        <v>145</v>
      </c>
    </row>
    <row r="40" spans="1:8" x14ac:dyDescent="0.25">
      <c r="A40" s="76"/>
      <c r="B40" s="5"/>
      <c r="C40" s="5"/>
      <c r="D40" s="5"/>
      <c r="E40" s="5"/>
      <c r="F40" s="5"/>
    </row>
    <row r="41" spans="1:8" x14ac:dyDescent="0.25">
      <c r="A41" s="95" t="s">
        <v>141</v>
      </c>
      <c r="B41" s="59">
        <f>SUM(B42:OB_CORTO_PLAZO_FIN_01)</f>
        <v>3</v>
      </c>
      <c r="C41" s="59">
        <f>SUM(C42:OB_CORTO_PLAZO_FIN_02)</f>
        <v>3</v>
      </c>
      <c r="D41" s="59">
        <f>SUM(D42:OB_CORTO_PLAZO_FIN_03)</f>
        <v>3</v>
      </c>
      <c r="E41" s="59">
        <f>SUM(E42:OB_CORTO_PLAZO_FIN_04)</f>
        <v>3</v>
      </c>
      <c r="F41" s="59">
        <f>SUM(F42:OB_CORTO_PLAZO_FIN_05)</f>
        <v>3</v>
      </c>
    </row>
    <row r="42" spans="1:8" s="23" customFormat="1" x14ac:dyDescent="0.25">
      <c r="A42" s="98" t="s">
        <v>440</v>
      </c>
      <c r="B42" s="58">
        <v>1</v>
      </c>
      <c r="C42" s="58">
        <v>1</v>
      </c>
      <c r="D42" s="58">
        <v>1</v>
      </c>
      <c r="E42" s="58">
        <v>1</v>
      </c>
      <c r="F42" s="58">
        <v>1</v>
      </c>
    </row>
    <row r="43" spans="1:8" s="23" customFormat="1" x14ac:dyDescent="0.25">
      <c r="A43" s="98" t="s">
        <v>441</v>
      </c>
      <c r="B43" s="58">
        <v>1</v>
      </c>
      <c r="C43" s="58">
        <v>1</v>
      </c>
      <c r="D43" s="58">
        <v>1</v>
      </c>
      <c r="E43" s="58">
        <v>1</v>
      </c>
      <c r="F43" s="58">
        <v>1</v>
      </c>
    </row>
    <row r="44" spans="1:8" s="23" customFormat="1" x14ac:dyDescent="0.25">
      <c r="A44" s="98" t="s">
        <v>442</v>
      </c>
      <c r="B44" s="58">
        <v>1</v>
      </c>
      <c r="C44" s="58">
        <v>1</v>
      </c>
      <c r="D44" s="58">
        <v>1</v>
      </c>
      <c r="E44" s="58">
        <v>1</v>
      </c>
      <c r="F44" s="58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10608160</v>
      </c>
      <c r="Q3" s="18">
        <f>'Formato 2'!C8</f>
        <v>0</v>
      </c>
      <c r="R3" s="18">
        <f>'Formato 2'!D8</f>
        <v>1872000</v>
      </c>
      <c r="S3" s="18">
        <f>'Formato 2'!E8</f>
        <v>0</v>
      </c>
      <c r="T3" s="18">
        <f>'Formato 2'!F8</f>
        <v>8736160</v>
      </c>
      <c r="U3" s="18">
        <f>'Formato 2'!G8</f>
        <v>326180.25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10608160</v>
      </c>
      <c r="Q8" s="18">
        <f>'Formato 2'!C13</f>
        <v>0</v>
      </c>
      <c r="R8" s="18">
        <f>'Formato 2'!D13</f>
        <v>1872000</v>
      </c>
      <c r="S8" s="18">
        <f>'Formato 2'!E13</f>
        <v>0</v>
      </c>
      <c r="T8" s="18">
        <f>'Formato 2'!F13</f>
        <v>8736160</v>
      </c>
      <c r="U8" s="18">
        <f>'Formato 2'!G13</f>
        <v>326180.25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10608160</v>
      </c>
      <c r="Q9" s="18">
        <f>'Formato 2'!C14</f>
        <v>0</v>
      </c>
      <c r="R9" s="18">
        <f>'Formato 2'!D14</f>
        <v>1872000</v>
      </c>
      <c r="S9" s="18">
        <f>'Formato 2'!E14</f>
        <v>0</v>
      </c>
      <c r="T9" s="18">
        <f>'Formato 2'!F14</f>
        <v>8736160</v>
      </c>
      <c r="U9" s="18">
        <f>'Formato 2'!G14</f>
        <v>326180.25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107814407.02</v>
      </c>
      <c r="Q12" s="18"/>
      <c r="R12" s="18"/>
      <c r="S12" s="18"/>
      <c r="T12" s="18">
        <f>'Formato 2'!F18</f>
        <v>81525376.340000004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118422567.02</v>
      </c>
      <c r="Q13" s="18">
        <f>'Formato 2'!C20</f>
        <v>0</v>
      </c>
      <c r="R13" s="18">
        <f>'Formato 2'!D20</f>
        <v>1872000</v>
      </c>
      <c r="S13" s="18">
        <f>'Formato 2'!E20</f>
        <v>0</v>
      </c>
      <c r="T13" s="18">
        <f>'Formato 2'!F20</f>
        <v>90261536.340000004</v>
      </c>
      <c r="U13" s="18">
        <f>'Formato 2'!G20</f>
        <v>326180.25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B1" zoomScale="90" zoomScaleNormal="90" workbookViewId="0">
      <selection activeCell="I16" sqref="I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0" customFormat="1" ht="37.5" customHeight="1" x14ac:dyDescent="0.25">
      <c r="A1" s="154" t="s">
        <v>535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0"/>
    </row>
    <row r="2" spans="1:12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2" x14ac:dyDescent="0.25">
      <c r="A3" s="145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2" ht="14.25" x14ac:dyDescent="0.45">
      <c r="A4" s="148" t="str">
        <f>TRIMESTRE</f>
        <v>Del 1 de enero al 30 de junio de 2021 (b)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2" ht="14.25" x14ac:dyDescent="0.45">
      <c r="A5" s="145" t="s">
        <v>118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2" ht="75" x14ac:dyDescent="0.2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7" t="str">
        <f>MONTO1</f>
        <v>Monto pagado de la inversión al 30 de junio de 2021 (k)</v>
      </c>
      <c r="J6" s="117" t="str">
        <f>MONTO2</f>
        <v>Monto pagado de la inversión actualizado al 30 de junio de 2021 (l)</v>
      </c>
      <c r="K6" s="117" t="str">
        <f>SALDO_PENDIENTE</f>
        <v>Saldo pendiente por pagar de la inversión al 30 de junio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7" t="s">
        <v>155</v>
      </c>
      <c r="B8" s="115"/>
      <c r="C8" s="115"/>
      <c r="D8" s="115"/>
      <c r="E8" s="59">
        <f>SUM(E9:APP_FIN_04)</f>
        <v>4</v>
      </c>
      <c r="F8" s="115"/>
      <c r="G8" s="135">
        <f>SUM(G9:APP_FIN_06)</f>
        <v>0</v>
      </c>
      <c r="H8" s="135">
        <f>SUM(H9:APP_FIN_07)</f>
        <v>0</v>
      </c>
      <c r="I8" s="135">
        <f>SUM(I9:APP_FIN_08)</f>
        <v>0</v>
      </c>
      <c r="J8" s="135">
        <f>SUM(J9:APP_FIN_09)</f>
        <v>0</v>
      </c>
      <c r="K8" s="135">
        <f>SUM(K9:APP_FIN_10)</f>
        <v>0</v>
      </c>
    </row>
    <row r="9" spans="1:12" s="23" customFormat="1" x14ac:dyDescent="0.25">
      <c r="A9" s="103" t="s">
        <v>156</v>
      </c>
      <c r="B9" s="101">
        <v>42755</v>
      </c>
      <c r="C9" s="101">
        <v>42755</v>
      </c>
      <c r="D9" s="101">
        <v>42755</v>
      </c>
      <c r="E9" s="58">
        <v>1</v>
      </c>
      <c r="F9" s="58">
        <v>80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</row>
    <row r="10" spans="1:12" s="23" customFormat="1" x14ac:dyDescent="0.25">
      <c r="A10" s="103" t="s">
        <v>157</v>
      </c>
      <c r="B10" s="101">
        <v>42755</v>
      </c>
      <c r="C10" s="101">
        <v>42755</v>
      </c>
      <c r="D10" s="101">
        <v>42755</v>
      </c>
      <c r="E10" s="58">
        <v>1</v>
      </c>
      <c r="F10" s="58">
        <v>70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</row>
    <row r="11" spans="1:12" s="23" customFormat="1" x14ac:dyDescent="0.25">
      <c r="A11" s="103" t="s">
        <v>158</v>
      </c>
      <c r="B11" s="101">
        <v>42755</v>
      </c>
      <c r="C11" s="101">
        <v>42755</v>
      </c>
      <c r="D11" s="101">
        <v>42755</v>
      </c>
      <c r="E11" s="58">
        <v>1</v>
      </c>
      <c r="F11" s="58">
        <v>60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</row>
    <row r="12" spans="1:12" s="23" customFormat="1" x14ac:dyDescent="0.25">
      <c r="A12" s="103" t="s">
        <v>159</v>
      </c>
      <c r="B12" s="101">
        <v>42755</v>
      </c>
      <c r="C12" s="101">
        <v>42755</v>
      </c>
      <c r="D12" s="101">
        <v>42755</v>
      </c>
      <c r="E12" s="58">
        <v>1</v>
      </c>
      <c r="F12" s="58">
        <v>50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</row>
    <row r="13" spans="1:12" ht="14.25" x14ac:dyDescent="0.45">
      <c r="A13" s="104" t="s">
        <v>678</v>
      </c>
      <c r="B13" s="102"/>
      <c r="C13" s="102"/>
      <c r="D13" s="102"/>
      <c r="E13" s="52"/>
      <c r="F13" s="52"/>
      <c r="G13" s="52"/>
      <c r="H13" s="52"/>
      <c r="I13" s="52"/>
      <c r="J13" s="52"/>
      <c r="K13" s="52"/>
    </row>
    <row r="14" spans="1:12" x14ac:dyDescent="0.25">
      <c r="A14" s="37" t="s">
        <v>160</v>
      </c>
      <c r="B14" s="115"/>
      <c r="C14" s="115"/>
      <c r="D14" s="115"/>
      <c r="E14" s="59">
        <f>SUM(E15:OTROS_FIN_04)</f>
        <v>4</v>
      </c>
      <c r="F14" s="115"/>
      <c r="G14" s="135">
        <f>SUM(G15:OTROS_FIN_06)</f>
        <v>0</v>
      </c>
      <c r="H14" s="135">
        <f>SUM(H15:OTROS_FIN_07)</f>
        <v>0</v>
      </c>
      <c r="I14" s="135">
        <f>SUM(I15:OTROS_FIN_08)</f>
        <v>0</v>
      </c>
      <c r="J14" s="135">
        <f>SUM(J15:OTROS_FIN_09)</f>
        <v>0</v>
      </c>
      <c r="K14" s="135">
        <f>SUM(K15:OTROS_FIN_10)</f>
        <v>0</v>
      </c>
    </row>
    <row r="15" spans="1:12" s="23" customFormat="1" x14ac:dyDescent="0.25">
      <c r="A15" s="103" t="s">
        <v>161</v>
      </c>
      <c r="B15" s="101">
        <v>42755</v>
      </c>
      <c r="C15" s="101">
        <v>42755</v>
      </c>
      <c r="D15" s="101">
        <v>42755</v>
      </c>
      <c r="E15" s="58">
        <v>1</v>
      </c>
      <c r="F15" s="58">
        <v>40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</row>
    <row r="16" spans="1:12" s="23" customFormat="1" x14ac:dyDescent="0.25">
      <c r="A16" s="103" t="s">
        <v>162</v>
      </c>
      <c r="B16" s="101">
        <v>42755</v>
      </c>
      <c r="C16" s="101">
        <v>42755</v>
      </c>
      <c r="D16" s="101">
        <v>42755</v>
      </c>
      <c r="E16" s="58">
        <v>1</v>
      </c>
      <c r="F16" s="58">
        <v>30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</row>
    <row r="17" spans="1:11" s="23" customFormat="1" x14ac:dyDescent="0.25">
      <c r="A17" s="103" t="s">
        <v>163</v>
      </c>
      <c r="B17" s="101">
        <v>42755</v>
      </c>
      <c r="C17" s="101">
        <v>42755</v>
      </c>
      <c r="D17" s="101">
        <v>42755</v>
      </c>
      <c r="E17" s="58">
        <v>1</v>
      </c>
      <c r="F17" s="58">
        <v>20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</row>
    <row r="18" spans="1:11" s="23" customFormat="1" x14ac:dyDescent="0.25">
      <c r="A18" s="103" t="s">
        <v>164</v>
      </c>
      <c r="B18" s="101">
        <v>42755</v>
      </c>
      <c r="C18" s="101">
        <v>42755</v>
      </c>
      <c r="D18" s="101">
        <v>42755</v>
      </c>
      <c r="E18" s="58">
        <v>1</v>
      </c>
      <c r="F18" s="58">
        <v>10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</row>
    <row r="19" spans="1:11" ht="14.25" x14ac:dyDescent="0.45">
      <c r="A19" s="104" t="s">
        <v>678</v>
      </c>
      <c r="B19" s="102"/>
      <c r="C19" s="102"/>
      <c r="D19" s="102"/>
      <c r="E19" s="52"/>
      <c r="F19" s="52"/>
      <c r="G19" s="52"/>
      <c r="H19" s="52"/>
      <c r="I19" s="52"/>
      <c r="J19" s="52"/>
      <c r="K19" s="52"/>
    </row>
    <row r="20" spans="1:11" x14ac:dyDescent="0.25">
      <c r="A20" s="37" t="s">
        <v>165</v>
      </c>
      <c r="B20" s="115"/>
      <c r="C20" s="115"/>
      <c r="D20" s="115"/>
      <c r="E20" s="59">
        <f>APP_T4+OTROS_T4</f>
        <v>8</v>
      </c>
      <c r="F20" s="115"/>
      <c r="G20" s="135">
        <f>APP_T6+OTROS_T6</f>
        <v>0</v>
      </c>
      <c r="H20" s="135">
        <f>APP_T7+OTROS_T7</f>
        <v>0</v>
      </c>
      <c r="I20" s="135">
        <f>APP_T8+OTROS_T8</f>
        <v>0</v>
      </c>
      <c r="J20" s="135">
        <f>APP_T9+OTROS_T9</f>
        <v>0</v>
      </c>
      <c r="K20" s="135">
        <f>APP_T10+OTROS_T10</f>
        <v>0</v>
      </c>
    </row>
    <row r="21" spans="1:11" ht="14.25" x14ac:dyDescent="0.45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GABRIEL</cp:lastModifiedBy>
  <cp:lastPrinted>2017-02-04T00:56:20Z</cp:lastPrinted>
  <dcterms:created xsi:type="dcterms:W3CDTF">2017-01-19T17:59:06Z</dcterms:created>
  <dcterms:modified xsi:type="dcterms:W3CDTF">2021-07-23T21:59:29Z</dcterms:modified>
</cp:coreProperties>
</file>